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run\Dropbox\CAA\Clients\Nadine West\"/>
    </mc:Choice>
  </mc:AlternateContent>
  <xr:revisionPtr revIDLastSave="0" documentId="13_ncr:1_{5BE3915B-C02C-4D30-B2EF-17ECE7442733}" xr6:coauthVersionLast="45" xr6:coauthVersionMax="45" xr10:uidLastSave="{00000000-0000-0000-0000-000000000000}"/>
  <bookViews>
    <workbookView xWindow="-108" yWindow="-108" windowWidth="30936" windowHeight="16896" tabRatio="874" xr2:uid="{00000000-000D-0000-FFFF-FFFF00000000}"/>
  </bookViews>
  <sheets>
    <sheet name="Dashboard" sheetId="32" r:id="rId1"/>
    <sheet name="Model -&gt;" sheetId="1" r:id="rId2"/>
    <sheet name="P&amp;L" sheetId="26" r:id="rId3"/>
    <sheet name="Engine -&gt;" sheetId="4" r:id="rId4"/>
    <sheet name="Analysis" sheetId="12" r:id="rId5"/>
    <sheet name="Inputs -&gt;" sheetId="5" r:id="rId6"/>
    <sheet name="Customer" sheetId="11" r:id="rId7"/>
    <sheet name="P&amp;L -&gt;" sheetId="13" r:id="rId8"/>
    <sheet name="I2020" sheetId="30" r:id="rId9"/>
    <sheet name="I2019" sheetId="10" r:id="rId10"/>
    <sheet name="I2018" sheetId="6" r:id="rId11"/>
    <sheet name="I2017" sheetId="7" r:id="rId12"/>
    <sheet name="I2016" sheetId="8" r:id="rId13"/>
    <sheet name="I2015" sheetId="9" r:id="rId14"/>
    <sheet name="BS -&gt;" sheetId="14" r:id="rId15"/>
    <sheet name="B2020" sheetId="28" r:id="rId16"/>
    <sheet name="B2019" sheetId="20" r:id="rId17"/>
    <sheet name="B2018" sheetId="16" r:id="rId18"/>
    <sheet name="B2017" sheetId="17" r:id="rId19"/>
    <sheet name="B2016" sheetId="18" r:id="rId20"/>
    <sheet name="B2015" sheetId="19" r:id="rId21"/>
    <sheet name="CF -&gt;" sheetId="15" r:id="rId22"/>
    <sheet name="C2020" sheetId="31" r:id="rId23"/>
    <sheet name="C2019" sheetId="24" r:id="rId24"/>
    <sheet name="C2018" sheetId="21" r:id="rId25"/>
    <sheet name="C2017" sheetId="25" r:id="rId26"/>
    <sheet name="C2016" sheetId="22" r:id="rId27"/>
    <sheet name="C2015" sheetId="23" r:id="rId28"/>
  </sheet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12" i="32" l="1"/>
  <c r="F11" i="32"/>
  <c r="D11" i="32"/>
  <c r="F8" i="32"/>
  <c r="E12" i="32"/>
  <c r="E11" i="32"/>
  <c r="E8" i="32"/>
  <c r="D12" i="32"/>
  <c r="BQ49" i="12"/>
  <c r="BP49" i="12"/>
  <c r="BO49" i="12"/>
  <c r="BN49" i="12"/>
  <c r="BM49" i="12"/>
  <c r="BL49" i="12"/>
  <c r="D8" i="32"/>
  <c r="BQ180" i="12"/>
  <c r="BQ177" i="12"/>
  <c r="BQ178" i="12" s="1"/>
  <c r="BQ175" i="12"/>
  <c r="BQ174" i="12"/>
  <c r="BQ171" i="12"/>
  <c r="BQ170" i="12"/>
  <c r="BQ169" i="12"/>
  <c r="BQ168" i="12"/>
  <c r="BQ167" i="12"/>
  <c r="BQ166" i="12"/>
  <c r="BQ165" i="12"/>
  <c r="BQ164" i="12"/>
  <c r="BQ163" i="12"/>
  <c r="BQ162" i="12"/>
  <c r="BQ161" i="12"/>
  <c r="BQ160" i="12"/>
  <c r="BQ159" i="12"/>
  <c r="BQ158" i="12"/>
  <c r="BQ157" i="12"/>
  <c r="BQ156" i="12"/>
  <c r="BQ155" i="12"/>
  <c r="BQ154" i="12"/>
  <c r="BQ153" i="12"/>
  <c r="BQ152" i="12"/>
  <c r="BQ151" i="12"/>
  <c r="BQ150" i="12"/>
  <c r="BQ149" i="12"/>
  <c r="BQ148" i="12"/>
  <c r="BQ147" i="12"/>
  <c r="BQ146" i="12"/>
  <c r="BQ145" i="12"/>
  <c r="BQ144" i="12"/>
  <c r="BQ143" i="12"/>
  <c r="BQ142" i="12"/>
  <c r="BQ141" i="12"/>
  <c r="BQ140" i="12"/>
  <c r="BQ139" i="12"/>
  <c r="BQ138" i="12"/>
  <c r="BQ137" i="12"/>
  <c r="BQ136" i="12"/>
  <c r="BQ135" i="12"/>
  <c r="BQ134" i="12"/>
  <c r="BQ133" i="12"/>
  <c r="BQ132" i="12"/>
  <c r="BQ131" i="12"/>
  <c r="BQ130" i="12"/>
  <c r="BQ129" i="12"/>
  <c r="BQ128" i="12"/>
  <c r="BQ127" i="12"/>
  <c r="BQ126" i="12"/>
  <c r="BQ125" i="12"/>
  <c r="BQ124" i="12"/>
  <c r="BQ123" i="12"/>
  <c r="BQ122" i="12"/>
  <c r="BQ121" i="12"/>
  <c r="BQ120" i="12"/>
  <c r="BQ119" i="12"/>
  <c r="BQ118" i="12"/>
  <c r="BQ117" i="12"/>
  <c r="BQ116" i="12"/>
  <c r="BQ115" i="12"/>
  <c r="BQ114" i="12"/>
  <c r="BQ113" i="12"/>
  <c r="BQ112" i="12"/>
  <c r="BQ111" i="12"/>
  <c r="BQ110" i="12"/>
  <c r="BQ109" i="12"/>
  <c r="BQ108" i="12"/>
  <c r="BQ107" i="12"/>
  <c r="BQ106" i="12"/>
  <c r="BQ105" i="12"/>
  <c r="BQ104" i="12"/>
  <c r="BQ103" i="12"/>
  <c r="BQ102" i="12"/>
  <c r="BQ101" i="12"/>
  <c r="BQ100" i="12"/>
  <c r="BQ99" i="12"/>
  <c r="BQ98" i="12"/>
  <c r="BQ97" i="12"/>
  <c r="BQ96" i="12"/>
  <c r="BQ95" i="12"/>
  <c r="BQ94" i="12"/>
  <c r="BQ93" i="12"/>
  <c r="BQ92" i="12"/>
  <c r="BQ91" i="12"/>
  <c r="BQ90" i="12"/>
  <c r="BQ89" i="12"/>
  <c r="BQ88" i="12"/>
  <c r="BQ87" i="12"/>
  <c r="BQ86" i="12"/>
  <c r="BQ85" i="12"/>
  <c r="BQ84" i="12"/>
  <c r="BQ83" i="12"/>
  <c r="BQ82" i="12"/>
  <c r="BQ81" i="12"/>
  <c r="BQ80" i="12"/>
  <c r="BQ79" i="12"/>
  <c r="BQ78" i="12"/>
  <c r="BQ77" i="12"/>
  <c r="BQ76" i="12"/>
  <c r="BQ75" i="12"/>
  <c r="BQ74" i="12"/>
  <c r="BQ73" i="12"/>
  <c r="BQ72" i="12"/>
  <c r="BQ71" i="12"/>
  <c r="BQ70" i="12"/>
  <c r="BQ69" i="12"/>
  <c r="BQ68" i="12"/>
  <c r="BQ67" i="12"/>
  <c r="BQ66" i="12"/>
  <c r="BQ65" i="12"/>
  <c r="BQ64" i="12"/>
  <c r="BQ63" i="12"/>
  <c r="BQ62" i="12"/>
  <c r="BQ61" i="12"/>
  <c r="BQ60" i="12"/>
  <c r="BQ59" i="12"/>
  <c r="BQ58" i="12"/>
  <c r="BQ57" i="12"/>
  <c r="BQ56" i="12"/>
  <c r="BQ55" i="12"/>
  <c r="BQ54" i="12"/>
  <c r="BQ53" i="12"/>
  <c r="BQ52" i="12"/>
  <c r="BQ51" i="12"/>
  <c r="BQ50" i="12"/>
  <c r="BQ48" i="12"/>
  <c r="BQ47" i="12"/>
  <c r="BQ46" i="12"/>
  <c r="BQ45" i="12"/>
  <c r="BQ44" i="12"/>
  <c r="BQ43" i="12"/>
  <c r="BQ42" i="12"/>
  <c r="BQ41" i="12"/>
  <c r="BQ40" i="12"/>
  <c r="BQ39" i="12"/>
  <c r="BQ38" i="12"/>
  <c r="BQ37" i="12"/>
  <c r="BQ36" i="12"/>
  <c r="BQ35" i="12"/>
  <c r="BQ34" i="12"/>
  <c r="BQ33" i="12"/>
  <c r="BQ32" i="12"/>
  <c r="BQ31" i="12"/>
  <c r="BQ30" i="12"/>
  <c r="BQ29" i="12"/>
  <c r="BQ22" i="12"/>
  <c r="BQ17" i="12"/>
  <c r="BQ16" i="12"/>
  <c r="BQ15" i="12"/>
  <c r="BQ14" i="12"/>
  <c r="BQ12" i="12"/>
  <c r="BQ11" i="12"/>
  <c r="BQ25" i="12" s="1"/>
  <c r="BQ10" i="12"/>
  <c r="BQ8" i="12"/>
  <c r="BQ7" i="12"/>
  <c r="BP170" i="12"/>
  <c r="BO170" i="12"/>
  <c r="BN170" i="12"/>
  <c r="BM170" i="12"/>
  <c r="BL170" i="12"/>
  <c r="BP169" i="12"/>
  <c r="BO169" i="12"/>
  <c r="BN169" i="12"/>
  <c r="BM169" i="12"/>
  <c r="BL169" i="12"/>
  <c r="BP168" i="12"/>
  <c r="BO168" i="12"/>
  <c r="BN168" i="12"/>
  <c r="BM168" i="12"/>
  <c r="BL168" i="12"/>
  <c r="BP167" i="12"/>
  <c r="BO167" i="12"/>
  <c r="BN167" i="12"/>
  <c r="BM167" i="12"/>
  <c r="BL167" i="12"/>
  <c r="BP166" i="12"/>
  <c r="BO166" i="12"/>
  <c r="BN166" i="12"/>
  <c r="BM166" i="12"/>
  <c r="BL166" i="12"/>
  <c r="BP165" i="12"/>
  <c r="BO165" i="12"/>
  <c r="BN165" i="12"/>
  <c r="BM165" i="12"/>
  <c r="BL165" i="12"/>
  <c r="BP164" i="12"/>
  <c r="BO164" i="12"/>
  <c r="BN164" i="12"/>
  <c r="BM164" i="12"/>
  <c r="BL164" i="12"/>
  <c r="BP163" i="12"/>
  <c r="BO163" i="12"/>
  <c r="BN163" i="12"/>
  <c r="BM163" i="12"/>
  <c r="BL163" i="12"/>
  <c r="BP162" i="12"/>
  <c r="BO162" i="12"/>
  <c r="BN162" i="12"/>
  <c r="BM162" i="12"/>
  <c r="BL162" i="12"/>
  <c r="BP161" i="12"/>
  <c r="BO161" i="12"/>
  <c r="BN161" i="12"/>
  <c r="BM161" i="12"/>
  <c r="BL161" i="12"/>
  <c r="BP160" i="12"/>
  <c r="BO160" i="12"/>
  <c r="BN160" i="12"/>
  <c r="BM160" i="12"/>
  <c r="BL160" i="12"/>
  <c r="BP159" i="12"/>
  <c r="BO159" i="12"/>
  <c r="BN159" i="12"/>
  <c r="BM159" i="12"/>
  <c r="BL159" i="12"/>
  <c r="BP158" i="12"/>
  <c r="BO158" i="12"/>
  <c r="BN158" i="12"/>
  <c r="BM158" i="12"/>
  <c r="BL158" i="12"/>
  <c r="BP157" i="12"/>
  <c r="BO157" i="12"/>
  <c r="BN157" i="12"/>
  <c r="BM157" i="12"/>
  <c r="BL157" i="12"/>
  <c r="BP156" i="12"/>
  <c r="BO156" i="12"/>
  <c r="BN156" i="12"/>
  <c r="BM156" i="12"/>
  <c r="BL156" i="12"/>
  <c r="BP155" i="12"/>
  <c r="BO155" i="12"/>
  <c r="BN155" i="12"/>
  <c r="BM155" i="12"/>
  <c r="BL155" i="12"/>
  <c r="BP154" i="12"/>
  <c r="BO154" i="12"/>
  <c r="BN154" i="12"/>
  <c r="BM154" i="12"/>
  <c r="BL154" i="12"/>
  <c r="BP153" i="12"/>
  <c r="BO153" i="12"/>
  <c r="BN153" i="12"/>
  <c r="BM153" i="12"/>
  <c r="BL153" i="12"/>
  <c r="BP152" i="12"/>
  <c r="BO152" i="12"/>
  <c r="BN152" i="12"/>
  <c r="BM152" i="12"/>
  <c r="BL152" i="12"/>
  <c r="BP151" i="12"/>
  <c r="BO151" i="12"/>
  <c r="BN151" i="12"/>
  <c r="BM151" i="12"/>
  <c r="BL151" i="12"/>
  <c r="BP150" i="12"/>
  <c r="BO150" i="12"/>
  <c r="BN150" i="12"/>
  <c r="BM150" i="12"/>
  <c r="BL150" i="12"/>
  <c r="BP149" i="12"/>
  <c r="BO149" i="12"/>
  <c r="BN149" i="12"/>
  <c r="BM149" i="12"/>
  <c r="BL149" i="12"/>
  <c r="BP148" i="12"/>
  <c r="BO148" i="12"/>
  <c r="BN148" i="12"/>
  <c r="BM148" i="12"/>
  <c r="BL148" i="12"/>
  <c r="BP147" i="12"/>
  <c r="BO147" i="12"/>
  <c r="BN147" i="12"/>
  <c r="BM147" i="12"/>
  <c r="BL147" i="12"/>
  <c r="BP146" i="12"/>
  <c r="BO146" i="12"/>
  <c r="BN146" i="12"/>
  <c r="BM146" i="12"/>
  <c r="BL146" i="12"/>
  <c r="BP145" i="12"/>
  <c r="BO145" i="12"/>
  <c r="BN145" i="12"/>
  <c r="BM145" i="12"/>
  <c r="BL145" i="12"/>
  <c r="BP144" i="12"/>
  <c r="BO144" i="12"/>
  <c r="BN144" i="12"/>
  <c r="BM144" i="12"/>
  <c r="BL144" i="12"/>
  <c r="BP143" i="12"/>
  <c r="BO143" i="12"/>
  <c r="BN143" i="12"/>
  <c r="BM143" i="12"/>
  <c r="BL143" i="12"/>
  <c r="BP142" i="12"/>
  <c r="BO142" i="12"/>
  <c r="BN142" i="12"/>
  <c r="BM142" i="12"/>
  <c r="BL142" i="12"/>
  <c r="BP141" i="12"/>
  <c r="BO141" i="12"/>
  <c r="BN141" i="12"/>
  <c r="BM141" i="12"/>
  <c r="BL141" i="12"/>
  <c r="BP140" i="12"/>
  <c r="BO140" i="12"/>
  <c r="BN140" i="12"/>
  <c r="BM140" i="12"/>
  <c r="BL140" i="12"/>
  <c r="BP139" i="12"/>
  <c r="BO139" i="12"/>
  <c r="BN139" i="12"/>
  <c r="BM139" i="12"/>
  <c r="BL139" i="12"/>
  <c r="BP138" i="12"/>
  <c r="BO138" i="12"/>
  <c r="BN138" i="12"/>
  <c r="BM138" i="12"/>
  <c r="BL138" i="12"/>
  <c r="BP137" i="12"/>
  <c r="BO137" i="12"/>
  <c r="BN137" i="12"/>
  <c r="BM137" i="12"/>
  <c r="BL137" i="12"/>
  <c r="BP136" i="12"/>
  <c r="BO136" i="12"/>
  <c r="BN136" i="12"/>
  <c r="BM136" i="12"/>
  <c r="BL136" i="12"/>
  <c r="BP135" i="12"/>
  <c r="BO135" i="12"/>
  <c r="BN135" i="12"/>
  <c r="BM135" i="12"/>
  <c r="BL135" i="12"/>
  <c r="BP134" i="12"/>
  <c r="BO134" i="12"/>
  <c r="BN134" i="12"/>
  <c r="BM134" i="12"/>
  <c r="BL134" i="12"/>
  <c r="BP133" i="12"/>
  <c r="BO133" i="12"/>
  <c r="BN133" i="12"/>
  <c r="BM133" i="12"/>
  <c r="BL133" i="12"/>
  <c r="BP132" i="12"/>
  <c r="BO132" i="12"/>
  <c r="BN132" i="12"/>
  <c r="BM132" i="12"/>
  <c r="BL132" i="12"/>
  <c r="BP131" i="12"/>
  <c r="BO131" i="12"/>
  <c r="BN131" i="12"/>
  <c r="BM131" i="12"/>
  <c r="BL131" i="12"/>
  <c r="BP130" i="12"/>
  <c r="BO130" i="12"/>
  <c r="BN130" i="12"/>
  <c r="BM130" i="12"/>
  <c r="BL130" i="12"/>
  <c r="BP129" i="12"/>
  <c r="BO129" i="12"/>
  <c r="BN129" i="12"/>
  <c r="BM129" i="12"/>
  <c r="BL129" i="12"/>
  <c r="BP128" i="12"/>
  <c r="BO128" i="12"/>
  <c r="BN128" i="12"/>
  <c r="BM128" i="12"/>
  <c r="BL128" i="12"/>
  <c r="BP127" i="12"/>
  <c r="BO127" i="12"/>
  <c r="BN127" i="12"/>
  <c r="BM127" i="12"/>
  <c r="BL127" i="12"/>
  <c r="BP126" i="12"/>
  <c r="BO126" i="12"/>
  <c r="BN126" i="12"/>
  <c r="BM126" i="12"/>
  <c r="BL126" i="12"/>
  <c r="BP125" i="12"/>
  <c r="BO125" i="12"/>
  <c r="BN125" i="12"/>
  <c r="BM125" i="12"/>
  <c r="BL125" i="12"/>
  <c r="BP124" i="12"/>
  <c r="BO124" i="12"/>
  <c r="BN124" i="12"/>
  <c r="BM124" i="12"/>
  <c r="BL124" i="12"/>
  <c r="BP123" i="12"/>
  <c r="BO123" i="12"/>
  <c r="BN123" i="12"/>
  <c r="BM123" i="12"/>
  <c r="BL123" i="12"/>
  <c r="BP122" i="12"/>
  <c r="BO122" i="12"/>
  <c r="BN122" i="12"/>
  <c r="BM122" i="12"/>
  <c r="BL122" i="12"/>
  <c r="BP121" i="12"/>
  <c r="BO121" i="12"/>
  <c r="BN121" i="12"/>
  <c r="BM121" i="12"/>
  <c r="BL121" i="12"/>
  <c r="BP120" i="12"/>
  <c r="BO120" i="12"/>
  <c r="BN120" i="12"/>
  <c r="BM120" i="12"/>
  <c r="BL120" i="12"/>
  <c r="BP119" i="12"/>
  <c r="BO119" i="12"/>
  <c r="BN119" i="12"/>
  <c r="BM119" i="12"/>
  <c r="BL119" i="12"/>
  <c r="BP118" i="12"/>
  <c r="BO118" i="12"/>
  <c r="BN118" i="12"/>
  <c r="BM118" i="12"/>
  <c r="BL118" i="12"/>
  <c r="BP117" i="12"/>
  <c r="BO117" i="12"/>
  <c r="BN117" i="12"/>
  <c r="BM117" i="12"/>
  <c r="BL117" i="12"/>
  <c r="BP116" i="12"/>
  <c r="BO116" i="12"/>
  <c r="BN116" i="12"/>
  <c r="BM116" i="12"/>
  <c r="BL116" i="12"/>
  <c r="BP115" i="12"/>
  <c r="BO115" i="12"/>
  <c r="BN115" i="12"/>
  <c r="BM115" i="12"/>
  <c r="BL115" i="12"/>
  <c r="BP114" i="12"/>
  <c r="BO114" i="12"/>
  <c r="BN114" i="12"/>
  <c r="BM114" i="12"/>
  <c r="BL114" i="12"/>
  <c r="BP113" i="12"/>
  <c r="BO113" i="12"/>
  <c r="BN113" i="12"/>
  <c r="BM113" i="12"/>
  <c r="BL113" i="12"/>
  <c r="BP112" i="12"/>
  <c r="BO112" i="12"/>
  <c r="BN112" i="12"/>
  <c r="BM112" i="12"/>
  <c r="BL112" i="12"/>
  <c r="BP111" i="12"/>
  <c r="BO111" i="12"/>
  <c r="BN111" i="12"/>
  <c r="BM111" i="12"/>
  <c r="BL111" i="12"/>
  <c r="BP110" i="12"/>
  <c r="BO110" i="12"/>
  <c r="BN110" i="12"/>
  <c r="BM110" i="12"/>
  <c r="BL110" i="12"/>
  <c r="BP109" i="12"/>
  <c r="BO109" i="12"/>
  <c r="BN109" i="12"/>
  <c r="BM109" i="12"/>
  <c r="BL109" i="12"/>
  <c r="BP108" i="12"/>
  <c r="BO108" i="12"/>
  <c r="BN108" i="12"/>
  <c r="BM108" i="12"/>
  <c r="BL108" i="12"/>
  <c r="BP107" i="12"/>
  <c r="BO107" i="12"/>
  <c r="BN107" i="12"/>
  <c r="BM107" i="12"/>
  <c r="BL107" i="12"/>
  <c r="BP106" i="12"/>
  <c r="BO106" i="12"/>
  <c r="BN106" i="12"/>
  <c r="BM106" i="12"/>
  <c r="BL106" i="12"/>
  <c r="BP105" i="12"/>
  <c r="BO105" i="12"/>
  <c r="BN105" i="12"/>
  <c r="BM105" i="12"/>
  <c r="BL105" i="12"/>
  <c r="BP104" i="12"/>
  <c r="BO104" i="12"/>
  <c r="BN104" i="12"/>
  <c r="BM104" i="12"/>
  <c r="BL104" i="12"/>
  <c r="BP103" i="12"/>
  <c r="BO103" i="12"/>
  <c r="BN103" i="12"/>
  <c r="BM103" i="12"/>
  <c r="BL103" i="12"/>
  <c r="BP102" i="12"/>
  <c r="BO102" i="12"/>
  <c r="BN102" i="12"/>
  <c r="BM102" i="12"/>
  <c r="BL102" i="12"/>
  <c r="BP101" i="12"/>
  <c r="BO101" i="12"/>
  <c r="BN101" i="12"/>
  <c r="BM101" i="12"/>
  <c r="BL101" i="12"/>
  <c r="BP100" i="12"/>
  <c r="BO100" i="12"/>
  <c r="BN100" i="12"/>
  <c r="BM100" i="12"/>
  <c r="BL100" i="12"/>
  <c r="BP99" i="12"/>
  <c r="BO99" i="12"/>
  <c r="BN99" i="12"/>
  <c r="BM99" i="12"/>
  <c r="BL99" i="12"/>
  <c r="BP98" i="12"/>
  <c r="BO98" i="12"/>
  <c r="BN98" i="12"/>
  <c r="BM98" i="12"/>
  <c r="BL98" i="12"/>
  <c r="BP97" i="12"/>
  <c r="BO97" i="12"/>
  <c r="BN97" i="12"/>
  <c r="BM97" i="12"/>
  <c r="BL97" i="12"/>
  <c r="BP96" i="12"/>
  <c r="BO96" i="12"/>
  <c r="BN96" i="12"/>
  <c r="BM96" i="12"/>
  <c r="BL96" i="12"/>
  <c r="BP95" i="12"/>
  <c r="BO95" i="12"/>
  <c r="BN95" i="12"/>
  <c r="BM95" i="12"/>
  <c r="BL95" i="12"/>
  <c r="BP94" i="12"/>
  <c r="BO94" i="12"/>
  <c r="BN94" i="12"/>
  <c r="BM94" i="12"/>
  <c r="BL94" i="12"/>
  <c r="BP93" i="12"/>
  <c r="BO93" i="12"/>
  <c r="BN93" i="12"/>
  <c r="BM93" i="12"/>
  <c r="BL93" i="12"/>
  <c r="BP92" i="12"/>
  <c r="BO92" i="12"/>
  <c r="BN92" i="12"/>
  <c r="BM92" i="12"/>
  <c r="BL92" i="12"/>
  <c r="BP91" i="12"/>
  <c r="BO91" i="12"/>
  <c r="BN91" i="12"/>
  <c r="BM91" i="12"/>
  <c r="BL91" i="12"/>
  <c r="BP90" i="12"/>
  <c r="BO90" i="12"/>
  <c r="BN90" i="12"/>
  <c r="BM90" i="12"/>
  <c r="BL90" i="12"/>
  <c r="BP89" i="12"/>
  <c r="BO89" i="12"/>
  <c r="BN89" i="12"/>
  <c r="BM89" i="12"/>
  <c r="BL89" i="12"/>
  <c r="BP88" i="12"/>
  <c r="BO88" i="12"/>
  <c r="BN88" i="12"/>
  <c r="BM88" i="12"/>
  <c r="BL88" i="12"/>
  <c r="BP87" i="12"/>
  <c r="BO87" i="12"/>
  <c r="BN87" i="12"/>
  <c r="BM87" i="12"/>
  <c r="BL87" i="12"/>
  <c r="BP86" i="12"/>
  <c r="BO86" i="12"/>
  <c r="BN86" i="12"/>
  <c r="BM86" i="12"/>
  <c r="BL86" i="12"/>
  <c r="BP85" i="12"/>
  <c r="BO85" i="12"/>
  <c r="BN85" i="12"/>
  <c r="BM85" i="12"/>
  <c r="BL85" i="12"/>
  <c r="BP84" i="12"/>
  <c r="BO84" i="12"/>
  <c r="BN84" i="12"/>
  <c r="BM84" i="12"/>
  <c r="BL84" i="12"/>
  <c r="BP83" i="12"/>
  <c r="BO83" i="12"/>
  <c r="BN83" i="12"/>
  <c r="BM83" i="12"/>
  <c r="BL83" i="12"/>
  <c r="BP82" i="12"/>
  <c r="BO82" i="12"/>
  <c r="BN82" i="12"/>
  <c r="BM82" i="12"/>
  <c r="BL82" i="12"/>
  <c r="BP81" i="12"/>
  <c r="BO81" i="12"/>
  <c r="BN81" i="12"/>
  <c r="BM81" i="12"/>
  <c r="BL81" i="12"/>
  <c r="BP80" i="12"/>
  <c r="BO80" i="12"/>
  <c r="BN80" i="12"/>
  <c r="BM80" i="12"/>
  <c r="BL80" i="12"/>
  <c r="BP79" i="12"/>
  <c r="BO79" i="12"/>
  <c r="BN79" i="12"/>
  <c r="BM79" i="12"/>
  <c r="BL79" i="12"/>
  <c r="BP78" i="12"/>
  <c r="BO78" i="12"/>
  <c r="BN78" i="12"/>
  <c r="BM78" i="12"/>
  <c r="BL78" i="12"/>
  <c r="BP77" i="12"/>
  <c r="BO77" i="12"/>
  <c r="BN77" i="12"/>
  <c r="BM77" i="12"/>
  <c r="BL77" i="12"/>
  <c r="BP76" i="12"/>
  <c r="BO76" i="12"/>
  <c r="BN76" i="12"/>
  <c r="BM76" i="12"/>
  <c r="BL76" i="12"/>
  <c r="BP75" i="12"/>
  <c r="BO75" i="12"/>
  <c r="BN75" i="12"/>
  <c r="BM75" i="12"/>
  <c r="BL75" i="12"/>
  <c r="BP74" i="12"/>
  <c r="BO74" i="12"/>
  <c r="BN74" i="12"/>
  <c r="BM74" i="12"/>
  <c r="BL74" i="12"/>
  <c r="BP73" i="12"/>
  <c r="BO73" i="12"/>
  <c r="BN73" i="12"/>
  <c r="BM73" i="12"/>
  <c r="BL73" i="12"/>
  <c r="BP72" i="12"/>
  <c r="BO72" i="12"/>
  <c r="BN72" i="12"/>
  <c r="BM72" i="12"/>
  <c r="BL72" i="12"/>
  <c r="BP71" i="12"/>
  <c r="BO71" i="12"/>
  <c r="BN71" i="12"/>
  <c r="BM71" i="12"/>
  <c r="BL71" i="12"/>
  <c r="BP70" i="12"/>
  <c r="BO70" i="12"/>
  <c r="BN70" i="12"/>
  <c r="BM70" i="12"/>
  <c r="BL70" i="12"/>
  <c r="BP69" i="12"/>
  <c r="BO69" i="12"/>
  <c r="BN69" i="12"/>
  <c r="BM69" i="12"/>
  <c r="BL69" i="12"/>
  <c r="BP68" i="12"/>
  <c r="BO68" i="12"/>
  <c r="BN68" i="12"/>
  <c r="BM68" i="12"/>
  <c r="BL68" i="12"/>
  <c r="BP67" i="12"/>
  <c r="BO67" i="12"/>
  <c r="BN67" i="12"/>
  <c r="BM67" i="12"/>
  <c r="BL67" i="12"/>
  <c r="BP66" i="12"/>
  <c r="BO66" i="12"/>
  <c r="BN66" i="12"/>
  <c r="BM66" i="12"/>
  <c r="BL66" i="12"/>
  <c r="BP65" i="12"/>
  <c r="BO65" i="12"/>
  <c r="BN65" i="12"/>
  <c r="BM65" i="12"/>
  <c r="BL65" i="12"/>
  <c r="BP64" i="12"/>
  <c r="BO64" i="12"/>
  <c r="BN64" i="12"/>
  <c r="BM64" i="12"/>
  <c r="BL64" i="12"/>
  <c r="BP63" i="12"/>
  <c r="BO63" i="12"/>
  <c r="BN63" i="12"/>
  <c r="BM63" i="12"/>
  <c r="BL63" i="12"/>
  <c r="BP62" i="12"/>
  <c r="BO62" i="12"/>
  <c r="BN62" i="12"/>
  <c r="BM62" i="12"/>
  <c r="BL62" i="12"/>
  <c r="BP61" i="12"/>
  <c r="BO61" i="12"/>
  <c r="BN61" i="12"/>
  <c r="BM61" i="12"/>
  <c r="BL61" i="12"/>
  <c r="BP60" i="12"/>
  <c r="BO60" i="12"/>
  <c r="BN60" i="12"/>
  <c r="BM60" i="12"/>
  <c r="BL60" i="12"/>
  <c r="BP59" i="12"/>
  <c r="BO59" i="12"/>
  <c r="BN59" i="12"/>
  <c r="BM59" i="12"/>
  <c r="BL59" i="12"/>
  <c r="BP58" i="12"/>
  <c r="BO58" i="12"/>
  <c r="BN58" i="12"/>
  <c r="BM58" i="12"/>
  <c r="BL58" i="12"/>
  <c r="BP57" i="12"/>
  <c r="BO57" i="12"/>
  <c r="BN57" i="12"/>
  <c r="BM57" i="12"/>
  <c r="BL57" i="12"/>
  <c r="BP56" i="12"/>
  <c r="BO56" i="12"/>
  <c r="BN56" i="12"/>
  <c r="BM56" i="12"/>
  <c r="BL56" i="12"/>
  <c r="BP55" i="12"/>
  <c r="BO55" i="12"/>
  <c r="BN55" i="12"/>
  <c r="BM55" i="12"/>
  <c r="BL55" i="12"/>
  <c r="BP54" i="12"/>
  <c r="BO54" i="12"/>
  <c r="BN54" i="12"/>
  <c r="BM54" i="12"/>
  <c r="BL54" i="12"/>
  <c r="BP53" i="12"/>
  <c r="BO53" i="12"/>
  <c r="BN53" i="12"/>
  <c r="BM53" i="12"/>
  <c r="BL53" i="12"/>
  <c r="BP52" i="12"/>
  <c r="BO52" i="12"/>
  <c r="BN52" i="12"/>
  <c r="BM52" i="12"/>
  <c r="BL52" i="12"/>
  <c r="BP51" i="12"/>
  <c r="BO51" i="12"/>
  <c r="BN51" i="12"/>
  <c r="BM51" i="12"/>
  <c r="BL51" i="12"/>
  <c r="BP50" i="12"/>
  <c r="BO50" i="12"/>
  <c r="BN50" i="12"/>
  <c r="BM50" i="12"/>
  <c r="BL50" i="12"/>
  <c r="BP48" i="12"/>
  <c r="BO48" i="12"/>
  <c r="BN48" i="12"/>
  <c r="BM48" i="12"/>
  <c r="BL48" i="12"/>
  <c r="BP47" i="12"/>
  <c r="BO47" i="12"/>
  <c r="BN47" i="12"/>
  <c r="BM47" i="12"/>
  <c r="BL47" i="12"/>
  <c r="BP46" i="12"/>
  <c r="BO46" i="12"/>
  <c r="BN46" i="12"/>
  <c r="BM46" i="12"/>
  <c r="BL46" i="12"/>
  <c r="BP45" i="12"/>
  <c r="BO45" i="12"/>
  <c r="BN45" i="12"/>
  <c r="BM45" i="12"/>
  <c r="BL45" i="12"/>
  <c r="BP44" i="12"/>
  <c r="BO44" i="12"/>
  <c r="BN44" i="12"/>
  <c r="BM44" i="12"/>
  <c r="BL44" i="12"/>
  <c r="BP43" i="12"/>
  <c r="BO43" i="12"/>
  <c r="BN43" i="12"/>
  <c r="BM43" i="12"/>
  <c r="BL43" i="12"/>
  <c r="BP42" i="12"/>
  <c r="BO42" i="12"/>
  <c r="BN42" i="12"/>
  <c r="BM42" i="12"/>
  <c r="BL42" i="12"/>
  <c r="BP41" i="12"/>
  <c r="BO41" i="12"/>
  <c r="BN41" i="12"/>
  <c r="BM41" i="12"/>
  <c r="BL41" i="12"/>
  <c r="BP40" i="12"/>
  <c r="BO40" i="12"/>
  <c r="BN40" i="12"/>
  <c r="BM40" i="12"/>
  <c r="BL40" i="12"/>
  <c r="BP39" i="12"/>
  <c r="BO39" i="12"/>
  <c r="BN39" i="12"/>
  <c r="BM39" i="12"/>
  <c r="BL39" i="12"/>
  <c r="BP38" i="12"/>
  <c r="BO38" i="12"/>
  <c r="BN38" i="12"/>
  <c r="BM38" i="12"/>
  <c r="BL38" i="12"/>
  <c r="BP37" i="12"/>
  <c r="BO37" i="12"/>
  <c r="BN37" i="12"/>
  <c r="BM37" i="12"/>
  <c r="BL37" i="12"/>
  <c r="BP36" i="12"/>
  <c r="BO36" i="12"/>
  <c r="BN36" i="12"/>
  <c r="BM36" i="12"/>
  <c r="BL36" i="12"/>
  <c r="BP35" i="12"/>
  <c r="BO35" i="12"/>
  <c r="BN35" i="12"/>
  <c r="BM35" i="12"/>
  <c r="BL35" i="12"/>
  <c r="BP34" i="12"/>
  <c r="BO34" i="12"/>
  <c r="BN34" i="12"/>
  <c r="BM34" i="12"/>
  <c r="BL34" i="12"/>
  <c r="BP33" i="12"/>
  <c r="BO33" i="12"/>
  <c r="BN33" i="12"/>
  <c r="BM33" i="12"/>
  <c r="BL33" i="12"/>
  <c r="BP32" i="12"/>
  <c r="BO32" i="12"/>
  <c r="BN32" i="12"/>
  <c r="BM32" i="12"/>
  <c r="BL32" i="12"/>
  <c r="BP31" i="12"/>
  <c r="BO31" i="12"/>
  <c r="BN31" i="12"/>
  <c r="BM31" i="12"/>
  <c r="BL31" i="12"/>
  <c r="BP30" i="12"/>
  <c r="BO30" i="12"/>
  <c r="BN30" i="12"/>
  <c r="BM30" i="12"/>
  <c r="BL30" i="12"/>
  <c r="BP29" i="12"/>
  <c r="BO29" i="12"/>
  <c r="BN29" i="12"/>
  <c r="BM29" i="12"/>
  <c r="BL29" i="12"/>
  <c r="BP171" i="12"/>
  <c r="BO171" i="12"/>
  <c r="BN171" i="12"/>
  <c r="BM171" i="12"/>
  <c r="BL171" i="12"/>
  <c r="BQ20" i="12" l="1"/>
  <c r="AL18" i="11" l="1"/>
  <c r="BQ18" i="12" s="1"/>
  <c r="BQ21" i="12" s="1"/>
  <c r="AL13" i="11"/>
  <c r="BQ13" i="12" s="1"/>
  <c r="AL9" i="11"/>
  <c r="BQ9" i="12" s="1"/>
  <c r="E36" i="31"/>
  <c r="D36" i="31"/>
  <c r="C36" i="31"/>
  <c r="G35" i="31"/>
  <c r="G36" i="31" s="1"/>
  <c r="F35" i="31"/>
  <c r="F36" i="31" s="1"/>
  <c r="B35" i="31"/>
  <c r="B36" i="31" s="1"/>
  <c r="G33" i="31"/>
  <c r="F33" i="31"/>
  <c r="E33" i="31"/>
  <c r="C33" i="31"/>
  <c r="B33" i="31"/>
  <c r="D32" i="31"/>
  <c r="D33" i="31" s="1"/>
  <c r="G28" i="31"/>
  <c r="F28" i="31"/>
  <c r="H28" i="31" s="1"/>
  <c r="B27" i="31"/>
  <c r="H27" i="31" s="1"/>
  <c r="G26" i="31"/>
  <c r="D26" i="31"/>
  <c r="G25" i="31"/>
  <c r="F25" i="31"/>
  <c r="C25" i="31"/>
  <c r="G24" i="31"/>
  <c r="F24" i="31"/>
  <c r="E24" i="31"/>
  <c r="D24" i="31"/>
  <c r="C24" i="31"/>
  <c r="B24" i="31"/>
  <c r="G23" i="31"/>
  <c r="E23" i="31"/>
  <c r="F22" i="31"/>
  <c r="H22" i="31" s="1"/>
  <c r="B21" i="31"/>
  <c r="H21" i="31" s="1"/>
  <c r="G20" i="31"/>
  <c r="H20" i="31" s="1"/>
  <c r="G19" i="31"/>
  <c r="F19" i="31"/>
  <c r="E19" i="31"/>
  <c r="D19" i="31"/>
  <c r="C19" i="31"/>
  <c r="B19" i="31"/>
  <c r="H19" i="31" s="1"/>
  <c r="G18" i="31"/>
  <c r="F18" i="31"/>
  <c r="E18" i="31"/>
  <c r="D18" i="31"/>
  <c r="C18" i="31"/>
  <c r="B18" i="31"/>
  <c r="G17" i="31"/>
  <c r="F17" i="31"/>
  <c r="E17" i="31"/>
  <c r="D17" i="31"/>
  <c r="C17" i="31"/>
  <c r="B17" i="31"/>
  <c r="G16" i="31"/>
  <c r="F16" i="31"/>
  <c r="E16" i="31"/>
  <c r="D16" i="31"/>
  <c r="C16" i="31"/>
  <c r="B16" i="31"/>
  <c r="G15" i="31"/>
  <c r="F15" i="31"/>
  <c r="H15" i="31" s="1"/>
  <c r="C15" i="31"/>
  <c r="G14" i="31"/>
  <c r="F14" i="31"/>
  <c r="E14" i="31"/>
  <c r="D14" i="31"/>
  <c r="C14" i="31"/>
  <c r="B14" i="31"/>
  <c r="G13" i="31"/>
  <c r="F13" i="31"/>
  <c r="E13" i="31"/>
  <c r="D13" i="31"/>
  <c r="C13" i="31"/>
  <c r="H13" i="31" s="1"/>
  <c r="B13" i="31"/>
  <c r="G12" i="31"/>
  <c r="F12" i="31"/>
  <c r="E12" i="31"/>
  <c r="D12" i="31"/>
  <c r="C12" i="31"/>
  <c r="B12" i="31"/>
  <c r="G11" i="31"/>
  <c r="F11" i="31"/>
  <c r="E11" i="31"/>
  <c r="D11" i="31"/>
  <c r="C11" i="31"/>
  <c r="B11" i="31"/>
  <c r="G10" i="31"/>
  <c r="F10" i="31"/>
  <c r="E10" i="31"/>
  <c r="D10" i="31"/>
  <c r="C10" i="31"/>
  <c r="B10" i="31"/>
  <c r="G9" i="31"/>
  <c r="G29" i="31" s="1"/>
  <c r="F9" i="31"/>
  <c r="E9" i="31"/>
  <c r="D9" i="31"/>
  <c r="C9" i="31"/>
  <c r="H9" i="31" s="1"/>
  <c r="B9" i="31"/>
  <c r="H8" i="31"/>
  <c r="G7" i="31"/>
  <c r="F7" i="31"/>
  <c r="E7" i="31"/>
  <c r="D7" i="31"/>
  <c r="C7" i="31"/>
  <c r="B7" i="31"/>
  <c r="G117" i="28"/>
  <c r="F117" i="28"/>
  <c r="E117" i="28"/>
  <c r="D117" i="28"/>
  <c r="C117" i="28"/>
  <c r="B117" i="28"/>
  <c r="B116" i="28"/>
  <c r="C116" i="28" s="1"/>
  <c r="D116" i="28" s="1"/>
  <c r="E116" i="28" s="1"/>
  <c r="F116" i="28" s="1"/>
  <c r="G116" i="28" s="1"/>
  <c r="D115" i="28"/>
  <c r="E115" i="28" s="1"/>
  <c r="F115" i="28" s="1"/>
  <c r="G115" i="28" s="1"/>
  <c r="C115" i="28"/>
  <c r="B115" i="28"/>
  <c r="B114" i="28"/>
  <c r="C114" i="28" s="1"/>
  <c r="D114" i="28" s="1"/>
  <c r="E114" i="28" s="1"/>
  <c r="F114" i="28" s="1"/>
  <c r="G114" i="28" s="1"/>
  <c r="D113" i="28"/>
  <c r="E113" i="28" s="1"/>
  <c r="F113" i="28" s="1"/>
  <c r="G113" i="28" s="1"/>
  <c r="C113" i="28"/>
  <c r="B113" i="28"/>
  <c r="B112" i="28"/>
  <c r="C112" i="28" s="1"/>
  <c r="D112" i="28" s="1"/>
  <c r="E112" i="28" s="1"/>
  <c r="F112" i="28" s="1"/>
  <c r="G112" i="28" s="1"/>
  <c r="B109" i="28"/>
  <c r="B110" i="28" s="1"/>
  <c r="C108" i="28"/>
  <c r="D108" i="28" s="1"/>
  <c r="B106" i="28"/>
  <c r="C106" i="28" s="1"/>
  <c r="D106" i="28" s="1"/>
  <c r="E106" i="28" s="1"/>
  <c r="F106" i="28" s="1"/>
  <c r="G106" i="28" s="1"/>
  <c r="C105" i="28"/>
  <c r="D105" i="28" s="1"/>
  <c r="B105" i="28"/>
  <c r="D104" i="28"/>
  <c r="E104" i="28" s="1"/>
  <c r="F104" i="28" s="1"/>
  <c r="C104" i="28"/>
  <c r="C107" i="28" s="1"/>
  <c r="C103" i="28"/>
  <c r="G102" i="28"/>
  <c r="F102" i="28"/>
  <c r="C102" i="28"/>
  <c r="D102" i="28" s="1"/>
  <c r="E102" i="28" s="1"/>
  <c r="B102" i="28"/>
  <c r="B101" i="28"/>
  <c r="C101" i="28" s="1"/>
  <c r="B95" i="28"/>
  <c r="C95" i="28" s="1"/>
  <c r="D95" i="28" s="1"/>
  <c r="E95" i="28" s="1"/>
  <c r="F95" i="28" s="1"/>
  <c r="G95" i="28" s="1"/>
  <c r="B94" i="28"/>
  <c r="C94" i="28" s="1"/>
  <c r="B92" i="28"/>
  <c r="C92" i="28" s="1"/>
  <c r="D92" i="28" s="1"/>
  <c r="E92" i="28" s="1"/>
  <c r="F92" i="28" s="1"/>
  <c r="G92" i="28" s="1"/>
  <c r="B91" i="28"/>
  <c r="B93" i="28" s="1"/>
  <c r="B89" i="28"/>
  <c r="C89" i="28" s="1"/>
  <c r="D89" i="28" s="1"/>
  <c r="E89" i="28" s="1"/>
  <c r="F89" i="28" s="1"/>
  <c r="G89" i="28" s="1"/>
  <c r="B88" i="28"/>
  <c r="C88" i="28" s="1"/>
  <c r="C87" i="28"/>
  <c r="G83" i="28"/>
  <c r="F83" i="28"/>
  <c r="B83" i="28"/>
  <c r="C83" i="28" s="1"/>
  <c r="D83" i="28" s="1"/>
  <c r="E83" i="28" s="1"/>
  <c r="B81" i="28"/>
  <c r="C81" i="28" s="1"/>
  <c r="D81" i="28" s="1"/>
  <c r="E81" i="28" s="1"/>
  <c r="F81" i="28" s="1"/>
  <c r="G81" i="28" s="1"/>
  <c r="B80" i="28"/>
  <c r="C80" i="28" s="1"/>
  <c r="D80" i="28" s="1"/>
  <c r="E80" i="28" s="1"/>
  <c r="F80" i="28" s="1"/>
  <c r="G80" i="28" s="1"/>
  <c r="B79" i="28"/>
  <c r="C79" i="28" s="1"/>
  <c r="D79" i="28" s="1"/>
  <c r="E79" i="28" s="1"/>
  <c r="F79" i="28" s="1"/>
  <c r="G79" i="28" s="1"/>
  <c r="B78" i="28"/>
  <c r="C78" i="28" s="1"/>
  <c r="B77" i="28"/>
  <c r="C77" i="28" s="1"/>
  <c r="D77" i="28" s="1"/>
  <c r="E77" i="28" s="1"/>
  <c r="F77" i="28" s="1"/>
  <c r="G77" i="28" s="1"/>
  <c r="B75" i="28"/>
  <c r="C75" i="28" s="1"/>
  <c r="D75" i="28" s="1"/>
  <c r="E75" i="28" s="1"/>
  <c r="F75" i="28" s="1"/>
  <c r="G75" i="28" s="1"/>
  <c r="B74" i="28"/>
  <c r="B73" i="28"/>
  <c r="C73" i="28" s="1"/>
  <c r="D73" i="28" s="1"/>
  <c r="E73" i="28" s="1"/>
  <c r="F73" i="28" s="1"/>
  <c r="G73" i="28" s="1"/>
  <c r="B72" i="28"/>
  <c r="C72" i="28" s="1"/>
  <c r="D72" i="28" s="1"/>
  <c r="E72" i="28" s="1"/>
  <c r="F72" i="28" s="1"/>
  <c r="G72" i="28" s="1"/>
  <c r="G71" i="28"/>
  <c r="D71" i="28"/>
  <c r="E71" i="28" s="1"/>
  <c r="F71" i="28" s="1"/>
  <c r="C71" i="28"/>
  <c r="G70" i="28"/>
  <c r="F70" i="28"/>
  <c r="C70" i="28"/>
  <c r="D70" i="28" s="1"/>
  <c r="E70" i="28" s="1"/>
  <c r="B70" i="28"/>
  <c r="G69" i="28"/>
  <c r="F69" i="28"/>
  <c r="E69" i="28"/>
  <c r="D69" i="28"/>
  <c r="C69" i="28"/>
  <c r="B69" i="28"/>
  <c r="B68" i="28"/>
  <c r="C68" i="28" s="1"/>
  <c r="D68" i="28" s="1"/>
  <c r="E68" i="28" s="1"/>
  <c r="F68" i="28" s="1"/>
  <c r="G68" i="28" s="1"/>
  <c r="B67" i="28"/>
  <c r="C67" i="28" s="1"/>
  <c r="B64" i="28"/>
  <c r="C64" i="28" s="1"/>
  <c r="D64" i="28" s="1"/>
  <c r="E64" i="28" s="1"/>
  <c r="F64" i="28" s="1"/>
  <c r="G64" i="28" s="1"/>
  <c r="G62" i="28"/>
  <c r="E62" i="28"/>
  <c r="F62" i="28" s="1"/>
  <c r="B62" i="28"/>
  <c r="C62" i="28" s="1"/>
  <c r="D62" i="28" s="1"/>
  <c r="C61" i="28"/>
  <c r="D61" i="28" s="1"/>
  <c r="G60" i="28"/>
  <c r="F60" i="28"/>
  <c r="C60" i="28"/>
  <c r="D60" i="28" s="1"/>
  <c r="E60" i="28" s="1"/>
  <c r="D59" i="28"/>
  <c r="E59" i="28" s="1"/>
  <c r="F59" i="28" s="1"/>
  <c r="G59" i="28" s="1"/>
  <c r="C59" i="28"/>
  <c r="B59" i="28"/>
  <c r="G58" i="28"/>
  <c r="C58" i="28"/>
  <c r="D58" i="28" s="1"/>
  <c r="E58" i="28" s="1"/>
  <c r="F58" i="28" s="1"/>
  <c r="B55" i="28"/>
  <c r="C55" i="28" s="1"/>
  <c r="D55" i="28" s="1"/>
  <c r="E55" i="28" s="1"/>
  <c r="F55" i="28" s="1"/>
  <c r="G55" i="28" s="1"/>
  <c r="B54" i="28"/>
  <c r="C54" i="28" s="1"/>
  <c r="G53" i="28"/>
  <c r="F53" i="28"/>
  <c r="E53" i="28"/>
  <c r="D53" i="28"/>
  <c r="C53" i="28"/>
  <c r="B53" i="28"/>
  <c r="G52" i="28"/>
  <c r="F52" i="28"/>
  <c r="E52" i="28"/>
  <c r="D52" i="28"/>
  <c r="C52" i="28"/>
  <c r="B52" i="28"/>
  <c r="G51" i="28"/>
  <c r="F51" i="28"/>
  <c r="E51" i="28"/>
  <c r="D51" i="28"/>
  <c r="C51" i="28"/>
  <c r="B51" i="28"/>
  <c r="G50" i="28"/>
  <c r="F50" i="28"/>
  <c r="E50" i="28"/>
  <c r="D50" i="28"/>
  <c r="C50" i="28"/>
  <c r="B50" i="28"/>
  <c r="G49" i="28"/>
  <c r="F49" i="28"/>
  <c r="C49" i="28"/>
  <c r="D49" i="28" s="1"/>
  <c r="E49" i="28" s="1"/>
  <c r="B49" i="28"/>
  <c r="B48" i="28"/>
  <c r="C48" i="28" s="1"/>
  <c r="D48" i="28" s="1"/>
  <c r="E48" i="28" s="1"/>
  <c r="F48" i="28" s="1"/>
  <c r="G48" i="28" s="1"/>
  <c r="B47" i="28"/>
  <c r="C47" i="28" s="1"/>
  <c r="D47" i="28" s="1"/>
  <c r="E47" i="28" s="1"/>
  <c r="F47" i="28" s="1"/>
  <c r="G47" i="28" s="1"/>
  <c r="G46" i="28"/>
  <c r="F46" i="28"/>
  <c r="E46" i="28"/>
  <c r="D46" i="28"/>
  <c r="C46" i="28"/>
  <c r="B46" i="28"/>
  <c r="G45" i="28"/>
  <c r="F45" i="28"/>
  <c r="E45" i="28"/>
  <c r="D45" i="28"/>
  <c r="C45" i="28"/>
  <c r="B45" i="28"/>
  <c r="B44" i="28"/>
  <c r="C44" i="28" s="1"/>
  <c r="D44" i="28" s="1"/>
  <c r="G43" i="28"/>
  <c r="F43" i="28"/>
  <c r="E43" i="28"/>
  <c r="D43" i="28"/>
  <c r="C43" i="28"/>
  <c r="B43" i="28"/>
  <c r="B40" i="28"/>
  <c r="B41" i="28" s="1"/>
  <c r="G39" i="28"/>
  <c r="D39" i="28"/>
  <c r="C39" i="28"/>
  <c r="B32" i="28"/>
  <c r="C32" i="28" s="1"/>
  <c r="D32" i="28" s="1"/>
  <c r="E32" i="28" s="1"/>
  <c r="F32" i="28" s="1"/>
  <c r="G32" i="28" s="1"/>
  <c r="B31" i="28"/>
  <c r="B33" i="28" s="1"/>
  <c r="D30" i="28"/>
  <c r="E30" i="28" s="1"/>
  <c r="F30" i="28" s="1"/>
  <c r="G30" i="28" s="1"/>
  <c r="B30" i="28"/>
  <c r="C30" i="28" s="1"/>
  <c r="C29" i="28"/>
  <c r="D29" i="28" s="1"/>
  <c r="B25" i="28"/>
  <c r="C25" i="28" s="1"/>
  <c r="D25" i="28" s="1"/>
  <c r="E25" i="28" s="1"/>
  <c r="F25" i="28" s="1"/>
  <c r="G25" i="28" s="1"/>
  <c r="G24" i="28"/>
  <c r="F24" i="28"/>
  <c r="E24" i="28"/>
  <c r="D24" i="28"/>
  <c r="C24" i="28"/>
  <c r="B24" i="28"/>
  <c r="G23" i="28"/>
  <c r="F23" i="28"/>
  <c r="E23" i="28"/>
  <c r="D23" i="28"/>
  <c r="C23" i="28"/>
  <c r="B23" i="28"/>
  <c r="B22" i="28"/>
  <c r="C22" i="28" s="1"/>
  <c r="B19" i="28"/>
  <c r="C19" i="28" s="1"/>
  <c r="C20" i="28" s="1"/>
  <c r="B16" i="28"/>
  <c r="C16" i="28" s="1"/>
  <c r="D16" i="28" s="1"/>
  <c r="E16" i="28" s="1"/>
  <c r="F16" i="28" s="1"/>
  <c r="G16" i="28" s="1"/>
  <c r="B15" i="28"/>
  <c r="C15" i="28" s="1"/>
  <c r="D15" i="28" s="1"/>
  <c r="E15" i="28" s="1"/>
  <c r="F15" i="28" s="1"/>
  <c r="G15" i="28" s="1"/>
  <c r="B14" i="28"/>
  <c r="C14" i="28" s="1"/>
  <c r="D14" i="28" s="1"/>
  <c r="E14" i="28" s="1"/>
  <c r="F14" i="28" s="1"/>
  <c r="G14" i="28" s="1"/>
  <c r="G13" i="28"/>
  <c r="F13" i="28"/>
  <c r="E13" i="28"/>
  <c r="D13" i="28"/>
  <c r="C13" i="28"/>
  <c r="B13" i="28"/>
  <c r="F12" i="28"/>
  <c r="G12" i="28" s="1"/>
  <c r="E12" i="28"/>
  <c r="D12" i="28"/>
  <c r="B12" i="28"/>
  <c r="C12" i="28" s="1"/>
  <c r="G11" i="28"/>
  <c r="F11" i="28"/>
  <c r="E11" i="28"/>
  <c r="D11" i="28"/>
  <c r="C11" i="28"/>
  <c r="B11" i="28"/>
  <c r="B10" i="28"/>
  <c r="C10" i="28" s="1"/>
  <c r="D10" i="28" s="1"/>
  <c r="E10" i="28" s="1"/>
  <c r="F10" i="28" s="1"/>
  <c r="G9" i="28"/>
  <c r="F9" i="28"/>
  <c r="E9" i="28"/>
  <c r="D9" i="28"/>
  <c r="C9" i="28"/>
  <c r="B9" i="28"/>
  <c r="G110" i="30"/>
  <c r="F110" i="30"/>
  <c r="E110" i="30"/>
  <c r="D110" i="30"/>
  <c r="C110" i="30"/>
  <c r="B110" i="30"/>
  <c r="F109" i="30"/>
  <c r="F111" i="30" s="1"/>
  <c r="G108" i="30"/>
  <c r="G109" i="30" s="1"/>
  <c r="G111" i="30" s="1"/>
  <c r="F108" i="30"/>
  <c r="E108" i="30"/>
  <c r="E109" i="30" s="1"/>
  <c r="E111" i="30" s="1"/>
  <c r="D108" i="30"/>
  <c r="D109" i="30" s="1"/>
  <c r="C108" i="30"/>
  <c r="C109" i="30" s="1"/>
  <c r="C111" i="30" s="1"/>
  <c r="B108" i="30"/>
  <c r="B109" i="30" s="1"/>
  <c r="B111" i="30" s="1"/>
  <c r="H107" i="30"/>
  <c r="G104" i="30"/>
  <c r="G105" i="30" s="1"/>
  <c r="F104" i="30"/>
  <c r="F105" i="30" s="1"/>
  <c r="F112" i="30" s="1"/>
  <c r="E104" i="30"/>
  <c r="E105" i="30" s="1"/>
  <c r="D104" i="30"/>
  <c r="D105" i="30" s="1"/>
  <c r="C104" i="30"/>
  <c r="B104" i="30"/>
  <c r="B105" i="30" s="1"/>
  <c r="G100" i="30"/>
  <c r="F100" i="30"/>
  <c r="E100" i="30"/>
  <c r="H100" i="30" s="1"/>
  <c r="G99" i="30"/>
  <c r="F99" i="30"/>
  <c r="E99" i="30"/>
  <c r="D99" i="30"/>
  <c r="H99" i="30" s="1"/>
  <c r="C99" i="30"/>
  <c r="B99" i="30"/>
  <c r="G98" i="30"/>
  <c r="F98" i="30"/>
  <c r="G97" i="30"/>
  <c r="F97" i="30"/>
  <c r="E97" i="30"/>
  <c r="D97" i="30"/>
  <c r="C97" i="30"/>
  <c r="B97" i="30"/>
  <c r="G96" i="30"/>
  <c r="F96" i="30"/>
  <c r="E96" i="30"/>
  <c r="D96" i="30"/>
  <c r="C96" i="30"/>
  <c r="B96" i="30"/>
  <c r="H96" i="30" s="1"/>
  <c r="C93" i="30"/>
  <c r="B93" i="30"/>
  <c r="G92" i="30"/>
  <c r="G93" i="30" s="1"/>
  <c r="F92" i="30"/>
  <c r="F93" i="30" s="1"/>
  <c r="E92" i="30"/>
  <c r="D92" i="30"/>
  <c r="D93" i="30" s="1"/>
  <c r="C92" i="30"/>
  <c r="B92" i="30"/>
  <c r="E91" i="30"/>
  <c r="E93" i="30" s="1"/>
  <c r="B90" i="30"/>
  <c r="H90" i="30" s="1"/>
  <c r="G88" i="30"/>
  <c r="G89" i="30" s="1"/>
  <c r="F88" i="30"/>
  <c r="F89" i="30" s="1"/>
  <c r="E88" i="30"/>
  <c r="E89" i="30" s="1"/>
  <c r="D88" i="30"/>
  <c r="D89" i="30" s="1"/>
  <c r="C88" i="30"/>
  <c r="B88" i="30"/>
  <c r="B89" i="30" s="1"/>
  <c r="H87" i="30"/>
  <c r="E86" i="30"/>
  <c r="G85" i="30"/>
  <c r="G86" i="30" s="1"/>
  <c r="F85" i="30"/>
  <c r="F86" i="30" s="1"/>
  <c r="E85" i="30"/>
  <c r="D85" i="30"/>
  <c r="D86" i="30" s="1"/>
  <c r="C85" i="30"/>
  <c r="C86" i="30" s="1"/>
  <c r="B85" i="30"/>
  <c r="H84" i="30"/>
  <c r="G82" i="30"/>
  <c r="F82" i="30"/>
  <c r="F83" i="30" s="1"/>
  <c r="E82" i="30"/>
  <c r="D82" i="30"/>
  <c r="C82" i="30"/>
  <c r="B82" i="30"/>
  <c r="G81" i="30"/>
  <c r="G83" i="30" s="1"/>
  <c r="F81" i="30"/>
  <c r="E81" i="30"/>
  <c r="D81" i="30"/>
  <c r="D83" i="30" s="1"/>
  <c r="C81" i="30"/>
  <c r="C83" i="30" s="1"/>
  <c r="B81" i="30"/>
  <c r="B83" i="30" s="1"/>
  <c r="H80" i="30"/>
  <c r="G79" i="30"/>
  <c r="F79" i="30"/>
  <c r="E79" i="30"/>
  <c r="D79" i="30"/>
  <c r="C79" i="30"/>
  <c r="B79" i="30"/>
  <c r="G78" i="30"/>
  <c r="F78" i="30"/>
  <c r="E78" i="30"/>
  <c r="D78" i="30"/>
  <c r="C78" i="30"/>
  <c r="B78" i="30"/>
  <c r="G77" i="30"/>
  <c r="F77" i="30"/>
  <c r="E77" i="30"/>
  <c r="D77" i="30"/>
  <c r="C77" i="30"/>
  <c r="B77" i="30"/>
  <c r="H77" i="30" s="1"/>
  <c r="G76" i="30"/>
  <c r="E76" i="30"/>
  <c r="D76" i="30"/>
  <c r="C76" i="30"/>
  <c r="B76" i="30"/>
  <c r="H75" i="30"/>
  <c r="D74" i="30"/>
  <c r="H74" i="30" s="1"/>
  <c r="C74" i="30"/>
  <c r="B74" i="30"/>
  <c r="G72" i="30"/>
  <c r="F72" i="30"/>
  <c r="E72" i="30"/>
  <c r="D72" i="30"/>
  <c r="C72" i="30"/>
  <c r="B72" i="30"/>
  <c r="F71" i="30"/>
  <c r="H71" i="30" s="1"/>
  <c r="G70" i="30"/>
  <c r="F70" i="30"/>
  <c r="E70" i="30"/>
  <c r="D70" i="30"/>
  <c r="C70" i="30"/>
  <c r="B70" i="30"/>
  <c r="G69" i="30"/>
  <c r="F69" i="30"/>
  <c r="E69" i="30"/>
  <c r="D69" i="30"/>
  <c r="C69" i="30"/>
  <c r="H69" i="30" s="1"/>
  <c r="B69" i="30"/>
  <c r="F68" i="30"/>
  <c r="H68" i="30" s="1"/>
  <c r="F67" i="30"/>
  <c r="H67" i="30" s="1"/>
  <c r="C67" i="30"/>
  <c r="B67" i="30"/>
  <c r="G66" i="30"/>
  <c r="F66" i="30"/>
  <c r="E66" i="30"/>
  <c r="D66" i="30"/>
  <c r="C66" i="30"/>
  <c r="B66" i="30"/>
  <c r="B73" i="30" s="1"/>
  <c r="G65" i="30"/>
  <c r="F65" i="30"/>
  <c r="G64" i="30"/>
  <c r="F64" i="30"/>
  <c r="C63" i="30"/>
  <c r="G62" i="30"/>
  <c r="E62" i="30"/>
  <c r="D62" i="30"/>
  <c r="D63" i="30" s="1"/>
  <c r="G61" i="30"/>
  <c r="G63" i="30" s="1"/>
  <c r="F61" i="30"/>
  <c r="F63" i="30" s="1"/>
  <c r="E61" i="30"/>
  <c r="E63" i="30" s="1"/>
  <c r="B61" i="30"/>
  <c r="B63" i="30" s="1"/>
  <c r="H60" i="30"/>
  <c r="G58" i="30"/>
  <c r="F58" i="30"/>
  <c r="E58" i="30"/>
  <c r="D58" i="30"/>
  <c r="C58" i="30"/>
  <c r="B58" i="30"/>
  <c r="G57" i="30"/>
  <c r="F57" i="30"/>
  <c r="E57" i="30"/>
  <c r="D57" i="30"/>
  <c r="C57" i="30"/>
  <c r="B57" i="30"/>
  <c r="G56" i="30"/>
  <c r="F55" i="30"/>
  <c r="E55" i="30"/>
  <c r="D55" i="30"/>
  <c r="C55" i="30"/>
  <c r="C56" i="30" s="1"/>
  <c r="B55" i="30"/>
  <c r="H55" i="30" s="1"/>
  <c r="G54" i="30"/>
  <c r="F54" i="30"/>
  <c r="E54" i="30"/>
  <c r="E56" i="30" s="1"/>
  <c r="D54" i="30"/>
  <c r="D56" i="30" s="1"/>
  <c r="C54" i="30"/>
  <c r="B54" i="30"/>
  <c r="G53" i="30"/>
  <c r="F53" i="30"/>
  <c r="D53" i="30"/>
  <c r="C53" i="30"/>
  <c r="G52" i="30"/>
  <c r="F52" i="30"/>
  <c r="E52" i="30"/>
  <c r="D52" i="30"/>
  <c r="C52" i="30"/>
  <c r="G51" i="30"/>
  <c r="F51" i="30"/>
  <c r="E51" i="30"/>
  <c r="D51" i="30"/>
  <c r="C51" i="30"/>
  <c r="B51" i="30"/>
  <c r="G50" i="30"/>
  <c r="F50" i="30"/>
  <c r="E50" i="30"/>
  <c r="D50" i="30"/>
  <c r="C50" i="30"/>
  <c r="B50" i="30"/>
  <c r="G49" i="30"/>
  <c r="F49" i="30"/>
  <c r="E49" i="30"/>
  <c r="D49" i="30"/>
  <c r="C49" i="30"/>
  <c r="B49" i="30"/>
  <c r="F47" i="30"/>
  <c r="E47" i="30"/>
  <c r="D47" i="30"/>
  <c r="C47" i="30"/>
  <c r="B47" i="30"/>
  <c r="D46" i="30"/>
  <c r="H46" i="30" s="1"/>
  <c r="C46" i="30"/>
  <c r="B46" i="30"/>
  <c r="G45" i="30"/>
  <c r="F45" i="30"/>
  <c r="E45" i="30"/>
  <c r="D45" i="30"/>
  <c r="C45" i="30"/>
  <c r="B45" i="30"/>
  <c r="C44" i="30"/>
  <c r="H44" i="30" s="1"/>
  <c r="G43" i="30"/>
  <c r="F43" i="30"/>
  <c r="E43" i="30"/>
  <c r="D43" i="30"/>
  <c r="G42" i="30"/>
  <c r="F42" i="30"/>
  <c r="E42" i="30"/>
  <c r="D42" i="30"/>
  <c r="G41" i="30"/>
  <c r="F41" i="30"/>
  <c r="E41" i="30"/>
  <c r="D41" i="30"/>
  <c r="C41" i="30"/>
  <c r="B41" i="30"/>
  <c r="H40" i="30"/>
  <c r="G38" i="30"/>
  <c r="F38" i="30"/>
  <c r="F39" i="30" s="1"/>
  <c r="E38" i="30"/>
  <c r="E39" i="30" s="1"/>
  <c r="D38" i="30"/>
  <c r="D39" i="30" s="1"/>
  <c r="C38" i="30"/>
  <c r="C39" i="30" s="1"/>
  <c r="B38" i="30"/>
  <c r="G37" i="30"/>
  <c r="G39" i="30" s="1"/>
  <c r="G36" i="30"/>
  <c r="H36" i="30" s="1"/>
  <c r="G34" i="30"/>
  <c r="F34" i="30"/>
  <c r="E34" i="30"/>
  <c r="D34" i="30"/>
  <c r="C34" i="30"/>
  <c r="B34" i="30"/>
  <c r="G33" i="30"/>
  <c r="F33" i="30"/>
  <c r="F35" i="30" s="1"/>
  <c r="E33" i="30"/>
  <c r="E35" i="30" s="1"/>
  <c r="D33" i="30"/>
  <c r="C33" i="30"/>
  <c r="B33" i="30"/>
  <c r="B35" i="30" s="1"/>
  <c r="H32" i="30"/>
  <c r="G31" i="30"/>
  <c r="F31" i="30"/>
  <c r="E31" i="30"/>
  <c r="D31" i="30"/>
  <c r="C31" i="30"/>
  <c r="B31" i="30"/>
  <c r="C30" i="30"/>
  <c r="H30" i="30" s="1"/>
  <c r="D29" i="30"/>
  <c r="F28" i="30"/>
  <c r="E28" i="30"/>
  <c r="D28" i="30"/>
  <c r="C28" i="30"/>
  <c r="B28" i="30"/>
  <c r="G27" i="30"/>
  <c r="G29" i="30" s="1"/>
  <c r="F27" i="30"/>
  <c r="F29" i="30" s="1"/>
  <c r="E27" i="30"/>
  <c r="E29" i="30" s="1"/>
  <c r="D27" i="30"/>
  <c r="C27" i="30"/>
  <c r="B27" i="30"/>
  <c r="H26" i="30"/>
  <c r="G25" i="30"/>
  <c r="F25" i="30"/>
  <c r="E25" i="30"/>
  <c r="D25" i="30"/>
  <c r="C25" i="30"/>
  <c r="B25" i="30"/>
  <c r="F21" i="30"/>
  <c r="E21" i="30"/>
  <c r="D21" i="30"/>
  <c r="C21" i="30"/>
  <c r="B21" i="30"/>
  <c r="G20" i="30"/>
  <c r="F20" i="30"/>
  <c r="E20" i="30"/>
  <c r="D20" i="30"/>
  <c r="C20" i="30"/>
  <c r="B20" i="30"/>
  <c r="G19" i="30"/>
  <c r="F19" i="30"/>
  <c r="E19" i="30"/>
  <c r="D19" i="30"/>
  <c r="C19" i="30"/>
  <c r="B19" i="30"/>
  <c r="G17" i="30"/>
  <c r="F17" i="30"/>
  <c r="E17" i="30"/>
  <c r="D17" i="30"/>
  <c r="C17" i="30"/>
  <c r="B17" i="30"/>
  <c r="G16" i="30"/>
  <c r="F16" i="30"/>
  <c r="E16" i="30"/>
  <c r="D16" i="30"/>
  <c r="C16" i="30"/>
  <c r="B16" i="30"/>
  <c r="B18" i="30" s="1"/>
  <c r="G15" i="30"/>
  <c r="F15" i="30"/>
  <c r="E15" i="30"/>
  <c r="E18" i="30" s="1"/>
  <c r="D15" i="30"/>
  <c r="D18" i="30" s="1"/>
  <c r="D22" i="30" s="1"/>
  <c r="C15" i="30"/>
  <c r="B15" i="30"/>
  <c r="G14" i="30"/>
  <c r="F14" i="30"/>
  <c r="H14" i="30" s="1"/>
  <c r="H13" i="30"/>
  <c r="G12" i="30"/>
  <c r="F12" i="30"/>
  <c r="E12" i="30"/>
  <c r="D12" i="30"/>
  <c r="C12" i="30"/>
  <c r="B12" i="30"/>
  <c r="G11" i="30"/>
  <c r="F11" i="30"/>
  <c r="E11" i="30"/>
  <c r="D11" i="30"/>
  <c r="C11" i="30"/>
  <c r="B11" i="30"/>
  <c r="D9" i="30"/>
  <c r="G8" i="30"/>
  <c r="F8" i="30"/>
  <c r="E8" i="30"/>
  <c r="D8" i="30"/>
  <c r="C8" i="30"/>
  <c r="H8" i="30" s="1"/>
  <c r="B8" i="30"/>
  <c r="G7" i="30"/>
  <c r="F7" i="30"/>
  <c r="F9" i="30" s="1"/>
  <c r="E7" i="30"/>
  <c r="E9" i="30" s="1"/>
  <c r="D7" i="30"/>
  <c r="C7" i="30"/>
  <c r="B7" i="30"/>
  <c r="BQ26" i="12" l="1"/>
  <c r="BQ27" i="12" s="1"/>
  <c r="G94" i="30"/>
  <c r="B112" i="30"/>
  <c r="D23" i="30"/>
  <c r="H16" i="30"/>
  <c r="G35" i="30"/>
  <c r="H37" i="30"/>
  <c r="H41" i="30"/>
  <c r="G48" i="30"/>
  <c r="H45" i="30"/>
  <c r="H47" i="30"/>
  <c r="H52" i="30"/>
  <c r="H53" i="30"/>
  <c r="B56" i="30"/>
  <c r="F56" i="30"/>
  <c r="H66" i="30"/>
  <c r="D94" i="30"/>
  <c r="E83" i="30"/>
  <c r="H83" i="30" s="1"/>
  <c r="H92" i="30"/>
  <c r="H97" i="30"/>
  <c r="H110" i="30"/>
  <c r="B17" i="28"/>
  <c r="B82" i="28"/>
  <c r="B96" i="28"/>
  <c r="H12" i="30"/>
  <c r="H20" i="30"/>
  <c r="H21" i="30"/>
  <c r="H27" i="30"/>
  <c r="F59" i="30"/>
  <c r="H34" i="30"/>
  <c r="B48" i="30"/>
  <c r="F48" i="30"/>
  <c r="H49" i="30"/>
  <c r="H50" i="30"/>
  <c r="H57" i="30"/>
  <c r="G73" i="30"/>
  <c r="C73" i="30"/>
  <c r="H72" i="30"/>
  <c r="D95" i="30"/>
  <c r="H82" i="30"/>
  <c r="H91" i="30"/>
  <c r="H98" i="30"/>
  <c r="H17" i="30"/>
  <c r="H19" i="30"/>
  <c r="C29" i="30"/>
  <c r="B22" i="30"/>
  <c r="H28" i="30"/>
  <c r="H31" i="30"/>
  <c r="D35" i="30"/>
  <c r="D48" i="30"/>
  <c r="H42" i="30"/>
  <c r="H43" i="30"/>
  <c r="H51" i="30"/>
  <c r="H62" i="30"/>
  <c r="H65" i="30"/>
  <c r="E73" i="30"/>
  <c r="D73" i="30"/>
  <c r="H78" i="30"/>
  <c r="E94" i="30"/>
  <c r="D111" i="30"/>
  <c r="D112" i="30" s="1"/>
  <c r="D31" i="28"/>
  <c r="D33" i="28" s="1"/>
  <c r="B63" i="28"/>
  <c r="C91" i="28"/>
  <c r="C109" i="28"/>
  <c r="D109" i="28" s="1"/>
  <c r="E109" i="28" s="1"/>
  <c r="F109" i="28" s="1"/>
  <c r="G109" i="28" s="1"/>
  <c r="G30" i="31"/>
  <c r="G37" i="31" s="1"/>
  <c r="D29" i="31"/>
  <c r="B29" i="31"/>
  <c r="F29" i="31"/>
  <c r="F30" i="31" s="1"/>
  <c r="F37" i="31" s="1"/>
  <c r="H14" i="31"/>
  <c r="H23" i="31"/>
  <c r="H25" i="31"/>
  <c r="H32" i="31"/>
  <c r="B20" i="28"/>
  <c r="E29" i="31"/>
  <c r="H16" i="31"/>
  <c r="H17" i="31"/>
  <c r="H24" i="31"/>
  <c r="H33" i="31"/>
  <c r="C40" i="28"/>
  <c r="D40" i="28" s="1"/>
  <c r="E40" i="28" s="1"/>
  <c r="F40" i="28" s="1"/>
  <c r="G40" i="28" s="1"/>
  <c r="B90" i="28"/>
  <c r="B107" i="28"/>
  <c r="H11" i="31"/>
  <c r="H12" i="31"/>
  <c r="H18" i="31"/>
  <c r="H26" i="31"/>
  <c r="D30" i="31"/>
  <c r="D37" i="31" s="1"/>
  <c r="B30" i="31"/>
  <c r="E30" i="31"/>
  <c r="E37" i="31" s="1"/>
  <c r="H36" i="31"/>
  <c r="C29" i="31"/>
  <c r="C30" i="31" s="1"/>
  <c r="C37" i="31" s="1"/>
  <c r="H35" i="31"/>
  <c r="H10" i="31"/>
  <c r="H7" i="31"/>
  <c r="G10" i="28"/>
  <c r="G17" i="28" s="1"/>
  <c r="F17" i="28"/>
  <c r="B76" i="28"/>
  <c r="C74" i="28"/>
  <c r="D17" i="28"/>
  <c r="G104" i="28"/>
  <c r="G107" i="28" s="1"/>
  <c r="E17" i="28"/>
  <c r="D41" i="28"/>
  <c r="E39" i="28"/>
  <c r="E44" i="28"/>
  <c r="D67" i="28"/>
  <c r="D78" i="28"/>
  <c r="C82" i="28"/>
  <c r="C26" i="28"/>
  <c r="E29" i="28"/>
  <c r="B84" i="28"/>
  <c r="E105" i="28"/>
  <c r="F105" i="28" s="1"/>
  <c r="G105" i="28" s="1"/>
  <c r="D107" i="28"/>
  <c r="C17" i="28"/>
  <c r="D19" i="28"/>
  <c r="D22" i="28"/>
  <c r="D87" i="28"/>
  <c r="C56" i="28"/>
  <c r="C57" i="28" s="1"/>
  <c r="C65" i="28" s="1"/>
  <c r="D63" i="28"/>
  <c r="B111" i="28"/>
  <c r="B118" i="28" s="1"/>
  <c r="B26" i="28"/>
  <c r="B27" i="28" s="1"/>
  <c r="B34" i="28" s="1"/>
  <c r="C31" i="28"/>
  <c r="C33" i="28" s="1"/>
  <c r="G41" i="28"/>
  <c r="D54" i="28"/>
  <c r="E61" i="28"/>
  <c r="B97" i="28"/>
  <c r="B98" i="28" s="1"/>
  <c r="D101" i="28"/>
  <c r="D103" i="28"/>
  <c r="C41" i="28"/>
  <c r="D88" i="28"/>
  <c r="C90" i="28"/>
  <c r="D94" i="28"/>
  <c r="C96" i="28"/>
  <c r="E107" i="28"/>
  <c r="E108" i="28"/>
  <c r="D110" i="28"/>
  <c r="C110" i="28"/>
  <c r="C111" i="28" s="1"/>
  <c r="C118" i="28" s="1"/>
  <c r="B56" i="28"/>
  <c r="B57" i="28" s="1"/>
  <c r="B65" i="28" s="1"/>
  <c r="B85" i="28" s="1"/>
  <c r="B99" i="28" s="1"/>
  <c r="B119" i="28" s="1"/>
  <c r="C63" i="28"/>
  <c r="B9" i="30"/>
  <c r="H7" i="30"/>
  <c r="C9" i="30"/>
  <c r="G9" i="30"/>
  <c r="G18" i="30"/>
  <c r="G22" i="30" s="1"/>
  <c r="H25" i="30"/>
  <c r="G59" i="30"/>
  <c r="E48" i="30"/>
  <c r="C48" i="30"/>
  <c r="H58" i="30"/>
  <c r="E95" i="30"/>
  <c r="H79" i="30"/>
  <c r="H81" i="30"/>
  <c r="B86" i="30"/>
  <c r="H86" i="30" s="1"/>
  <c r="H85" i="30"/>
  <c r="C89" i="30"/>
  <c r="H89" i="30" s="1"/>
  <c r="H88" i="30"/>
  <c r="E112" i="30"/>
  <c r="B39" i="30"/>
  <c r="H39" i="30" s="1"/>
  <c r="H38" i="30"/>
  <c r="E22" i="30"/>
  <c r="E23" i="30" s="1"/>
  <c r="F18" i="30"/>
  <c r="F22" i="30" s="1"/>
  <c r="H33" i="30"/>
  <c r="C35" i="30"/>
  <c r="H35" i="30" s="1"/>
  <c r="H48" i="30"/>
  <c r="H54" i="30"/>
  <c r="H63" i="30"/>
  <c r="H61" i="30"/>
  <c r="H76" i="30"/>
  <c r="G95" i="30"/>
  <c r="H93" i="30"/>
  <c r="H108" i="30"/>
  <c r="C18" i="30"/>
  <c r="C22" i="30" s="1"/>
  <c r="H15" i="30"/>
  <c r="E59" i="30"/>
  <c r="D59" i="30"/>
  <c r="D101" i="30" s="1"/>
  <c r="D102" i="30" s="1"/>
  <c r="D113" i="30" s="1"/>
  <c r="F73" i="30"/>
  <c r="F101" i="30" s="1"/>
  <c r="H64" i="30"/>
  <c r="H70" i="30"/>
  <c r="F95" i="30"/>
  <c r="B94" i="30"/>
  <c r="B95" i="30" s="1"/>
  <c r="F94" i="30"/>
  <c r="C105" i="30"/>
  <c r="C112" i="30" s="1"/>
  <c r="H104" i="30"/>
  <c r="G112" i="30"/>
  <c r="H111" i="30"/>
  <c r="B29" i="30"/>
  <c r="H11" i="30"/>
  <c r="H109" i="30"/>
  <c r="B49" i="12"/>
  <c r="B33" i="12"/>
  <c r="B25" i="12"/>
  <c r="B24" i="12"/>
  <c r="B23" i="12"/>
  <c r="B20" i="12"/>
  <c r="B13" i="12"/>
  <c r="E101" i="30" l="1"/>
  <c r="G101" i="30"/>
  <c r="C23" i="30"/>
  <c r="C27" i="28"/>
  <c r="C34" i="28" s="1"/>
  <c r="D91" i="28"/>
  <c r="C93" i="28"/>
  <c r="C97" i="28" s="1"/>
  <c r="C98" i="28" s="1"/>
  <c r="H56" i="30"/>
  <c r="H112" i="30"/>
  <c r="H73" i="30"/>
  <c r="H29" i="31"/>
  <c r="B37" i="31"/>
  <c r="H37" i="31" s="1"/>
  <c r="H30" i="31"/>
  <c r="E103" i="28"/>
  <c r="D111" i="28"/>
  <c r="F44" i="28"/>
  <c r="F61" i="28"/>
  <c r="E63" i="28"/>
  <c r="D96" i="28"/>
  <c r="E94" i="28"/>
  <c r="E54" i="28"/>
  <c r="D56" i="28"/>
  <c r="D57" i="28" s="1"/>
  <c r="D65" i="28" s="1"/>
  <c r="D20" i="28"/>
  <c r="E19" i="28"/>
  <c r="F29" i="28"/>
  <c r="E31" i="28"/>
  <c r="E33" i="28" s="1"/>
  <c r="E67" i="28"/>
  <c r="F39" i="28"/>
  <c r="F41" i="28" s="1"/>
  <c r="E41" i="28"/>
  <c r="F107" i="28"/>
  <c r="D74" i="28"/>
  <c r="C76" i="28"/>
  <c r="C84" i="28" s="1"/>
  <c r="C85" i="28" s="1"/>
  <c r="C99" i="28" s="1"/>
  <c r="C119" i="28" s="1"/>
  <c r="D90" i="28"/>
  <c r="E88" i="28"/>
  <c r="E22" i="28"/>
  <c r="D26" i="28"/>
  <c r="E78" i="28"/>
  <c r="D82" i="28"/>
  <c r="E110" i="28"/>
  <c r="F108" i="28"/>
  <c r="D118" i="28"/>
  <c r="E101" i="28"/>
  <c r="E87" i="28"/>
  <c r="E102" i="30"/>
  <c r="E113" i="30" s="1"/>
  <c r="F23" i="30"/>
  <c r="F102" i="30" s="1"/>
  <c r="F113" i="30" s="1"/>
  <c r="H22" i="30"/>
  <c r="H18" i="30"/>
  <c r="B59" i="30"/>
  <c r="H29" i="30"/>
  <c r="H105" i="30"/>
  <c r="B23" i="30"/>
  <c r="H9" i="30"/>
  <c r="C59" i="30"/>
  <c r="G23" i="30"/>
  <c r="G102" i="30" s="1"/>
  <c r="G113" i="30" s="1"/>
  <c r="C94" i="30"/>
  <c r="C95" i="30" s="1"/>
  <c r="BO175" i="12"/>
  <c r="BP180" i="12"/>
  <c r="BO180" i="12"/>
  <c r="BN180" i="12"/>
  <c r="BM180" i="12"/>
  <c r="BL180" i="12"/>
  <c r="BP174" i="12"/>
  <c r="BO174" i="12"/>
  <c r="BN174" i="12"/>
  <c r="BM174" i="12"/>
  <c r="BL174" i="12"/>
  <c r="BP177" i="12"/>
  <c r="BO177" i="12"/>
  <c r="BN177" i="12"/>
  <c r="BM177" i="12"/>
  <c r="BP18" i="12"/>
  <c r="BP17" i="12"/>
  <c r="BO17" i="12"/>
  <c r="BP16" i="12"/>
  <c r="BO16" i="12"/>
  <c r="BP15" i="12"/>
  <c r="BO15" i="12"/>
  <c r="BO20" i="12" s="1"/>
  <c r="BP14" i="12"/>
  <c r="BO14" i="12"/>
  <c r="BO13" i="12"/>
  <c r="BP12" i="12"/>
  <c r="BO12" i="12"/>
  <c r="BP11" i="12"/>
  <c r="BO11" i="12"/>
  <c r="BP10" i="12"/>
  <c r="BO10" i="12"/>
  <c r="BP8" i="12"/>
  <c r="BO8" i="12"/>
  <c r="BP7" i="12"/>
  <c r="BO7" i="12"/>
  <c r="BP6" i="12"/>
  <c r="BO6" i="12"/>
  <c r="AK18" i="11"/>
  <c r="AJ18" i="11"/>
  <c r="BO18" i="12" s="1"/>
  <c r="BO21" i="12" s="1"/>
  <c r="AK13" i="11"/>
  <c r="BP13" i="12" s="1"/>
  <c r="AJ13" i="11"/>
  <c r="AK9" i="11"/>
  <c r="BP9" i="12" s="1"/>
  <c r="AJ9" i="11"/>
  <c r="BO9" i="12" s="1"/>
  <c r="D6" i="32" l="1"/>
  <c r="BP21" i="12"/>
  <c r="D93" i="28"/>
  <c r="D97" i="28" s="1"/>
  <c r="D98" i="28" s="1"/>
  <c r="E91" i="28"/>
  <c r="BP20" i="12"/>
  <c r="D7" i="32" s="1"/>
  <c r="D27" i="28"/>
  <c r="D34" i="28" s="1"/>
  <c r="E74" i="28"/>
  <c r="D76" i="28"/>
  <c r="D84" i="28" s="1"/>
  <c r="D85" i="28" s="1"/>
  <c r="D99" i="28" s="1"/>
  <c r="D119" i="28" s="1"/>
  <c r="F67" i="28"/>
  <c r="E20" i="28"/>
  <c r="F19" i="28"/>
  <c r="E96" i="28"/>
  <c r="F94" i="28"/>
  <c r="E82" i="28"/>
  <c r="F78" i="28"/>
  <c r="E90" i="28"/>
  <c r="F88" i="28"/>
  <c r="F87" i="28"/>
  <c r="G108" i="28"/>
  <c r="G110" i="28" s="1"/>
  <c r="F110" i="28"/>
  <c r="G61" i="28"/>
  <c r="G63" i="28" s="1"/>
  <c r="F63" i="28"/>
  <c r="G44" i="28"/>
  <c r="F101" i="28"/>
  <c r="F22" i="28"/>
  <c r="E26" i="28"/>
  <c r="F31" i="28"/>
  <c r="F33" i="28" s="1"/>
  <c r="G29" i="28"/>
  <c r="G31" i="28" s="1"/>
  <c r="G33" i="28" s="1"/>
  <c r="F54" i="28"/>
  <c r="E56" i="28"/>
  <c r="E57" i="28" s="1"/>
  <c r="E65" i="28" s="1"/>
  <c r="E111" i="28"/>
  <c r="E118" i="28" s="1"/>
  <c r="F103" i="28"/>
  <c r="H94" i="30"/>
  <c r="H59" i="30"/>
  <c r="B101" i="30"/>
  <c r="H95" i="30"/>
  <c r="C101" i="30"/>
  <c r="B102" i="30"/>
  <c r="H23" i="30"/>
  <c r="BM175" i="12"/>
  <c r="BP175" i="12"/>
  <c r="BN178" i="12"/>
  <c r="BL177" i="12"/>
  <c r="BM178" i="12" s="1"/>
  <c r="BM22" i="12"/>
  <c r="BL22" i="12"/>
  <c r="BN22" i="12"/>
  <c r="BN18" i="12"/>
  <c r="BM18" i="12"/>
  <c r="BL18" i="12"/>
  <c r="BK18" i="12"/>
  <c r="BJ18" i="12"/>
  <c r="BJ21" i="12" s="1"/>
  <c r="BI18" i="12"/>
  <c r="BH18" i="12"/>
  <c r="BN17" i="12"/>
  <c r="BM17" i="12"/>
  <c r="BL17" i="12"/>
  <c r="BK17" i="12"/>
  <c r="BJ17" i="12"/>
  <c r="BI17" i="12"/>
  <c r="BH17" i="12"/>
  <c r="BN16" i="12"/>
  <c r="BM16" i="12"/>
  <c r="BL16" i="12"/>
  <c r="BK16" i="12"/>
  <c r="BJ16" i="12"/>
  <c r="BI16" i="12"/>
  <c r="BH16" i="12"/>
  <c r="BN15" i="12"/>
  <c r="BM15" i="12"/>
  <c r="BL15" i="12"/>
  <c r="BK15" i="12"/>
  <c r="BJ15" i="12"/>
  <c r="BI15" i="12"/>
  <c r="BH15" i="12"/>
  <c r="BN14" i="12"/>
  <c r="BM14" i="12"/>
  <c r="BL14" i="12"/>
  <c r="BK14" i="12"/>
  <c r="BJ14" i="12"/>
  <c r="BI14" i="12"/>
  <c r="BH14" i="12"/>
  <c r="BN13" i="12"/>
  <c r="BM13" i="12"/>
  <c r="BL13" i="12"/>
  <c r="BK13" i="12"/>
  <c r="BJ13" i="12"/>
  <c r="BI13" i="12"/>
  <c r="BH13" i="12"/>
  <c r="BN12" i="12"/>
  <c r="BM12" i="12"/>
  <c r="BL12" i="12"/>
  <c r="BK12" i="12"/>
  <c r="BJ12" i="12"/>
  <c r="BI12" i="12"/>
  <c r="BH12" i="12"/>
  <c r="BN11" i="12"/>
  <c r="BM11" i="12"/>
  <c r="BL11" i="12"/>
  <c r="BK11" i="12"/>
  <c r="BJ11" i="12"/>
  <c r="BI11" i="12"/>
  <c r="BH11" i="12"/>
  <c r="BN10" i="12"/>
  <c r="BM10" i="12"/>
  <c r="BL10" i="12"/>
  <c r="BK10" i="12"/>
  <c r="BJ10" i="12"/>
  <c r="BI10" i="12"/>
  <c r="BH10" i="12"/>
  <c r="BN9" i="12"/>
  <c r="BM9" i="12"/>
  <c r="BL9" i="12"/>
  <c r="BK9" i="12"/>
  <c r="BJ9" i="12"/>
  <c r="BI9" i="12"/>
  <c r="BH9" i="12"/>
  <c r="BN8" i="12"/>
  <c r="BM8" i="12"/>
  <c r="BL8" i="12"/>
  <c r="BK8" i="12"/>
  <c r="BJ8" i="12"/>
  <c r="BI8" i="12"/>
  <c r="BH8" i="12"/>
  <c r="BN7" i="12"/>
  <c r="BM7" i="12"/>
  <c r="BL7" i="12"/>
  <c r="BK7" i="12"/>
  <c r="BJ7" i="12"/>
  <c r="BI7" i="12"/>
  <c r="BH7" i="12"/>
  <c r="BN6" i="12"/>
  <c r="BM6" i="12"/>
  <c r="BL6" i="12"/>
  <c r="BK6" i="12"/>
  <c r="BJ6" i="12"/>
  <c r="BI6" i="12"/>
  <c r="BH6" i="12"/>
  <c r="BH20" i="12" l="1"/>
  <c r="BL20" i="12"/>
  <c r="BK21" i="12"/>
  <c r="BN21" i="12"/>
  <c r="BI20" i="12"/>
  <c r="BM20" i="12"/>
  <c r="BH21" i="12"/>
  <c r="BL21" i="12"/>
  <c r="BK20" i="12"/>
  <c r="E6" i="32"/>
  <c r="BJ20" i="12"/>
  <c r="BN20" i="12"/>
  <c r="BI21" i="12"/>
  <c r="BM21" i="12"/>
  <c r="F91" i="28"/>
  <c r="E93" i="28"/>
  <c r="E97" i="28" s="1"/>
  <c r="E98" i="28" s="1"/>
  <c r="BN25" i="12"/>
  <c r="E27" i="28"/>
  <c r="E34" i="28" s="1"/>
  <c r="G101" i="28"/>
  <c r="F118" i="28"/>
  <c r="F82" i="28"/>
  <c r="G78" i="28"/>
  <c r="G82" i="28" s="1"/>
  <c r="G94" i="28"/>
  <c r="G96" i="28" s="1"/>
  <c r="F96" i="28"/>
  <c r="G67" i="28"/>
  <c r="G54" i="28"/>
  <c r="G56" i="28" s="1"/>
  <c r="G57" i="28" s="1"/>
  <c r="G65" i="28" s="1"/>
  <c r="F56" i="28"/>
  <c r="F57" i="28" s="1"/>
  <c r="F65" i="28" s="1"/>
  <c r="G87" i="28"/>
  <c r="F111" i="28"/>
  <c r="G103" i="28"/>
  <c r="G111" i="28" s="1"/>
  <c r="G22" i="28"/>
  <c r="G26" i="28" s="1"/>
  <c r="F26" i="28"/>
  <c r="G88" i="28"/>
  <c r="G90" i="28" s="1"/>
  <c r="F90" i="28"/>
  <c r="G19" i="28"/>
  <c r="G20" i="28" s="1"/>
  <c r="F20" i="28"/>
  <c r="E76" i="28"/>
  <c r="E84" i="28" s="1"/>
  <c r="E85" i="28" s="1"/>
  <c r="F74" i="28"/>
  <c r="B113" i="30"/>
  <c r="H101" i="30"/>
  <c r="C102" i="30"/>
  <c r="BN175" i="12"/>
  <c r="BL25" i="12"/>
  <c r="BM23" i="12"/>
  <c r="BM25" i="12"/>
  <c r="BN23" i="12"/>
  <c r="E7" i="32" l="1"/>
  <c r="E99" i="28"/>
  <c r="E119" i="28" s="1"/>
  <c r="F93" i="28"/>
  <c r="F97" i="28" s="1"/>
  <c r="F98" i="28" s="1"/>
  <c r="G91" i="28"/>
  <c r="G93" i="28" s="1"/>
  <c r="F27" i="28"/>
  <c r="F34" i="28" s="1"/>
  <c r="G118" i="28"/>
  <c r="G74" i="28"/>
  <c r="G76" i="28" s="1"/>
  <c r="G84" i="28" s="1"/>
  <c r="G85" i="28" s="1"/>
  <c r="G99" i="28" s="1"/>
  <c r="G119" i="28" s="1"/>
  <c r="F76" i="28"/>
  <c r="F84" i="28" s="1"/>
  <c r="F85" i="28" s="1"/>
  <c r="G27" i="28"/>
  <c r="G34" i="28" s="1"/>
  <c r="G97" i="28"/>
  <c r="G98" i="28" s="1"/>
  <c r="C113" i="30"/>
  <c r="H113" i="30" s="1"/>
  <c r="H102" i="30"/>
  <c r="CI23" i="12"/>
  <c r="CH23" i="12"/>
  <c r="CG23" i="12"/>
  <c r="CF23" i="12"/>
  <c r="CE23" i="12"/>
  <c r="CD23" i="12"/>
  <c r="CC23" i="12"/>
  <c r="CB23" i="12"/>
  <c r="CA23" i="12"/>
  <c r="BZ23" i="12"/>
  <c r="BY23" i="12"/>
  <c r="BX23" i="12"/>
  <c r="CG3" i="26"/>
  <c r="CF3" i="26"/>
  <c r="CE3" i="26"/>
  <c r="CD3" i="26"/>
  <c r="CC3" i="26"/>
  <c r="CB3" i="26"/>
  <c r="CA3" i="26"/>
  <c r="BZ3" i="26"/>
  <c r="BY3" i="26"/>
  <c r="BX3" i="26"/>
  <c r="BW3" i="26"/>
  <c r="BV3" i="26"/>
  <c r="BU3" i="26"/>
  <c r="BT3" i="26"/>
  <c r="BS3" i="26"/>
  <c r="BR3" i="26"/>
  <c r="BQ3" i="26"/>
  <c r="BP3" i="26"/>
  <c r="BO3" i="26"/>
  <c r="BN3" i="26"/>
  <c r="BM3" i="26"/>
  <c r="BL3" i="26"/>
  <c r="BK3" i="26"/>
  <c r="BJ3" i="26"/>
  <c r="BI3" i="26"/>
  <c r="BH3" i="26"/>
  <c r="BG3" i="26"/>
  <c r="BF3" i="26"/>
  <c r="BE3" i="26"/>
  <c r="BD3" i="26"/>
  <c r="BC3" i="26"/>
  <c r="BB3" i="26"/>
  <c r="BA3" i="26"/>
  <c r="AZ3" i="26"/>
  <c r="AY3" i="26"/>
  <c r="AX3" i="26"/>
  <c r="AW3" i="26"/>
  <c r="AV3" i="26"/>
  <c r="AU3" i="26"/>
  <c r="AT3" i="26"/>
  <c r="AS3" i="26"/>
  <c r="AR3" i="26"/>
  <c r="AQ3" i="26"/>
  <c r="AP3" i="26"/>
  <c r="AO3" i="26"/>
  <c r="AN3" i="26"/>
  <c r="AM3" i="26"/>
  <c r="AL3" i="26"/>
  <c r="AK3" i="26"/>
  <c r="AJ3" i="26"/>
  <c r="AI3" i="26"/>
  <c r="AH3" i="26"/>
  <c r="AG3" i="26"/>
  <c r="AF3" i="26"/>
  <c r="AE3" i="26"/>
  <c r="AD3" i="26"/>
  <c r="AC3" i="26"/>
  <c r="AB3" i="26"/>
  <c r="AA3" i="26"/>
  <c r="Z3" i="26"/>
  <c r="Y3" i="26"/>
  <c r="X3" i="26"/>
  <c r="W3" i="26"/>
  <c r="V3" i="26"/>
  <c r="U3" i="26"/>
  <c r="T3" i="26"/>
  <c r="S3" i="26"/>
  <c r="R3" i="26"/>
  <c r="Q3" i="26"/>
  <c r="P3" i="26"/>
  <c r="O3" i="26"/>
  <c r="N3" i="26"/>
  <c r="M3" i="26"/>
  <c r="L3" i="26"/>
  <c r="K3" i="26"/>
  <c r="J3" i="26"/>
  <c r="I3" i="26"/>
  <c r="H3" i="26"/>
  <c r="G3" i="26"/>
  <c r="F3" i="26"/>
  <c r="E3" i="26"/>
  <c r="D3" i="26"/>
  <c r="C3" i="26"/>
  <c r="B3" i="26"/>
  <c r="F99" i="28" l="1"/>
  <c r="F119" i="28" s="1"/>
  <c r="BI31" i="26"/>
  <c r="BH31" i="26"/>
  <c r="BG31" i="26"/>
  <c r="BF31" i="26"/>
  <c r="BE31" i="26"/>
  <c r="BD31" i="26"/>
  <c r="BC31" i="26"/>
  <c r="BB31" i="26"/>
  <c r="BA31" i="26"/>
  <c r="AZ31" i="26"/>
  <c r="AY31" i="26"/>
  <c r="AX31" i="26"/>
  <c r="AW31" i="26"/>
  <c r="AV31" i="26"/>
  <c r="AU31" i="26"/>
  <c r="AT31" i="26"/>
  <c r="AS31" i="26"/>
  <c r="AR31" i="26"/>
  <c r="AQ31" i="26"/>
  <c r="AP31" i="26"/>
  <c r="AO31" i="26"/>
  <c r="AN31" i="26"/>
  <c r="AM31" i="26"/>
  <c r="AL31" i="26"/>
  <c r="AK31" i="26"/>
  <c r="AJ31" i="26"/>
  <c r="AI31" i="26"/>
  <c r="AH31" i="26"/>
  <c r="AG31" i="26"/>
  <c r="AF31" i="26"/>
  <c r="AE31" i="26"/>
  <c r="AD31" i="26"/>
  <c r="AC31" i="26"/>
  <c r="AB31" i="26"/>
  <c r="AA31" i="26"/>
  <c r="Z31" i="26"/>
  <c r="Y31" i="26"/>
  <c r="X31" i="26"/>
  <c r="W31" i="26"/>
  <c r="V31" i="26"/>
  <c r="U31" i="26"/>
  <c r="T31" i="26"/>
  <c r="S31" i="26"/>
  <c r="R31" i="26"/>
  <c r="Q31" i="26"/>
  <c r="P31" i="26"/>
  <c r="O31" i="26"/>
  <c r="N31" i="26"/>
  <c r="M31" i="26"/>
  <c r="L31" i="26"/>
  <c r="K31" i="26"/>
  <c r="J31" i="26"/>
  <c r="I31" i="26"/>
  <c r="H31" i="26"/>
  <c r="G31" i="26"/>
  <c r="F31" i="26"/>
  <c r="E31" i="26"/>
  <c r="D31" i="26"/>
  <c r="C31" i="26"/>
  <c r="B31" i="26"/>
  <c r="BI27" i="26"/>
  <c r="BH27" i="26"/>
  <c r="BG27" i="26"/>
  <c r="BF27" i="26"/>
  <c r="BE27" i="26"/>
  <c r="BD27" i="26"/>
  <c r="BC27" i="26"/>
  <c r="BB27" i="26"/>
  <c r="BA27" i="26"/>
  <c r="AZ27" i="26"/>
  <c r="AY27" i="26"/>
  <c r="AX27" i="26"/>
  <c r="AW27" i="26"/>
  <c r="AV27" i="26"/>
  <c r="AU27" i="26"/>
  <c r="AT27" i="26"/>
  <c r="AS27" i="26"/>
  <c r="AR27" i="26"/>
  <c r="AQ27" i="26"/>
  <c r="AP27" i="26"/>
  <c r="AO27" i="26"/>
  <c r="AN27" i="26"/>
  <c r="AM27" i="26"/>
  <c r="AL27" i="26"/>
  <c r="AK27" i="26"/>
  <c r="AJ27" i="26"/>
  <c r="AI27" i="26"/>
  <c r="AH27" i="26"/>
  <c r="AG27" i="26"/>
  <c r="AF27" i="26"/>
  <c r="AE27" i="26"/>
  <c r="AD27" i="26"/>
  <c r="AC27" i="26"/>
  <c r="AB27" i="26"/>
  <c r="AA27" i="26"/>
  <c r="Z27" i="26"/>
  <c r="Y27" i="26"/>
  <c r="X27" i="26"/>
  <c r="W27" i="26"/>
  <c r="V27" i="26"/>
  <c r="U27" i="26"/>
  <c r="T27" i="26"/>
  <c r="S27" i="26"/>
  <c r="R27" i="26"/>
  <c r="Q27" i="26"/>
  <c r="P27" i="26"/>
  <c r="O27" i="26"/>
  <c r="N27" i="26"/>
  <c r="M27" i="26"/>
  <c r="L27" i="26"/>
  <c r="K27" i="26"/>
  <c r="J27" i="26"/>
  <c r="I27" i="26"/>
  <c r="H27" i="26"/>
  <c r="G27" i="26"/>
  <c r="F27" i="26"/>
  <c r="E27" i="26"/>
  <c r="D27" i="26"/>
  <c r="C27" i="26"/>
  <c r="B27" i="26"/>
  <c r="BI21" i="26"/>
  <c r="BH21" i="26"/>
  <c r="BG21" i="26"/>
  <c r="BF21" i="26"/>
  <c r="BE21" i="26"/>
  <c r="BD21" i="26"/>
  <c r="BC21" i="26"/>
  <c r="BB21" i="26"/>
  <c r="BA21" i="26"/>
  <c r="AZ21" i="26"/>
  <c r="AY21" i="26"/>
  <c r="AX21" i="26"/>
  <c r="AW21" i="26"/>
  <c r="AV21" i="26"/>
  <c r="AU21" i="26"/>
  <c r="AT21" i="26"/>
  <c r="AS21" i="26"/>
  <c r="AR21" i="26"/>
  <c r="AQ21" i="26"/>
  <c r="AP21" i="26"/>
  <c r="AO21" i="26"/>
  <c r="AN21" i="26"/>
  <c r="AM21" i="26"/>
  <c r="AL21" i="26"/>
  <c r="AK21" i="26"/>
  <c r="AJ21" i="26"/>
  <c r="AI21" i="26"/>
  <c r="AH21" i="26"/>
  <c r="AG21" i="26"/>
  <c r="AF21" i="26"/>
  <c r="AE21" i="26"/>
  <c r="AD21" i="26"/>
  <c r="AC21" i="26"/>
  <c r="AB21" i="26"/>
  <c r="AA21" i="26"/>
  <c r="Z21" i="26"/>
  <c r="Y21" i="26"/>
  <c r="X21" i="26"/>
  <c r="W21" i="26"/>
  <c r="V21" i="26"/>
  <c r="U21" i="26"/>
  <c r="T21" i="26"/>
  <c r="S21" i="26"/>
  <c r="R21" i="26"/>
  <c r="Q21" i="26"/>
  <c r="P21" i="26"/>
  <c r="O21" i="26"/>
  <c r="N21" i="26"/>
  <c r="M21" i="26"/>
  <c r="L21" i="26"/>
  <c r="K21" i="26"/>
  <c r="J21" i="26"/>
  <c r="I21" i="26"/>
  <c r="H21" i="26"/>
  <c r="G21" i="26"/>
  <c r="F21" i="26"/>
  <c r="E21" i="26"/>
  <c r="D21" i="26"/>
  <c r="C21" i="26"/>
  <c r="B21" i="26"/>
  <c r="BK173" i="12"/>
  <c r="BJ173" i="12"/>
  <c r="BI173" i="12"/>
  <c r="BH173" i="12"/>
  <c r="BG173" i="12"/>
  <c r="BF173" i="12"/>
  <c r="BE173" i="12"/>
  <c r="BD173" i="12"/>
  <c r="BC173" i="12"/>
  <c r="BB173" i="12"/>
  <c r="BA173" i="12"/>
  <c r="AZ173" i="12"/>
  <c r="AY173" i="12"/>
  <c r="AX173" i="12"/>
  <c r="AW173" i="12"/>
  <c r="AV173" i="12"/>
  <c r="AU173" i="12"/>
  <c r="AT173" i="12"/>
  <c r="AS173" i="12"/>
  <c r="AR173" i="12"/>
  <c r="AQ173" i="12"/>
  <c r="AP173" i="12"/>
  <c r="AO173" i="12"/>
  <c r="AN173" i="12"/>
  <c r="AM173" i="12"/>
  <c r="AL173" i="12"/>
  <c r="AK173" i="12"/>
  <c r="AJ173" i="12"/>
  <c r="AI173" i="12"/>
  <c r="AH173" i="12"/>
  <c r="AG173" i="12"/>
  <c r="AF173" i="12"/>
  <c r="AE173" i="12"/>
  <c r="AD173" i="12"/>
  <c r="AC173" i="12"/>
  <c r="AB173" i="12"/>
  <c r="AA173" i="12"/>
  <c r="Z173" i="12"/>
  <c r="Y173" i="12"/>
  <c r="X173" i="12"/>
  <c r="W173" i="12"/>
  <c r="V173" i="12"/>
  <c r="U173" i="12"/>
  <c r="T173" i="12"/>
  <c r="S173" i="12"/>
  <c r="R173" i="12"/>
  <c r="Q173" i="12"/>
  <c r="P173" i="12"/>
  <c r="O173" i="12"/>
  <c r="N173" i="12"/>
  <c r="M173" i="12"/>
  <c r="L173" i="12"/>
  <c r="K173" i="12"/>
  <c r="J173" i="12"/>
  <c r="I173" i="12"/>
  <c r="H173" i="12"/>
  <c r="G173" i="12"/>
  <c r="F173" i="12"/>
  <c r="E173" i="12"/>
  <c r="D173" i="12"/>
  <c r="F35" i="25"/>
  <c r="E35" i="25"/>
  <c r="D35" i="25"/>
  <c r="C35" i="25"/>
  <c r="M34" i="25"/>
  <c r="M35" i="25" s="1"/>
  <c r="L34" i="25"/>
  <c r="L35" i="25" s="1"/>
  <c r="K34" i="25"/>
  <c r="K35" i="25" s="1"/>
  <c r="J34" i="25"/>
  <c r="J35" i="25" s="1"/>
  <c r="I34" i="25"/>
  <c r="I35" i="25" s="1"/>
  <c r="H34" i="25"/>
  <c r="H35" i="25" s="1"/>
  <c r="G34" i="25"/>
  <c r="N34" i="25" s="1"/>
  <c r="G33" i="25"/>
  <c r="N33" i="25" s="1"/>
  <c r="B32" i="25"/>
  <c r="N32" i="25" s="1"/>
  <c r="B31" i="25"/>
  <c r="N31" i="25" s="1"/>
  <c r="B30" i="25"/>
  <c r="N30" i="25" s="1"/>
  <c r="G29" i="25"/>
  <c r="B29" i="25"/>
  <c r="G28" i="25"/>
  <c r="B24" i="25"/>
  <c r="N24" i="25" s="1"/>
  <c r="M23" i="25"/>
  <c r="L23" i="25"/>
  <c r="K23" i="25"/>
  <c r="J23" i="25"/>
  <c r="I23" i="25"/>
  <c r="H23" i="25"/>
  <c r="G23" i="25"/>
  <c r="F23" i="25"/>
  <c r="E23" i="25"/>
  <c r="D23" i="25"/>
  <c r="C23" i="25"/>
  <c r="B23" i="25"/>
  <c r="K22" i="25"/>
  <c r="N22" i="25" s="1"/>
  <c r="M21" i="25"/>
  <c r="L21" i="25"/>
  <c r="K21" i="25"/>
  <c r="J21" i="25"/>
  <c r="I21" i="25"/>
  <c r="H21" i="25"/>
  <c r="G21" i="25"/>
  <c r="F21" i="25"/>
  <c r="E21" i="25"/>
  <c r="D21" i="25"/>
  <c r="C21" i="25"/>
  <c r="B21" i="25"/>
  <c r="G20" i="25"/>
  <c r="C20" i="25"/>
  <c r="B20" i="25"/>
  <c r="N20" i="25" s="1"/>
  <c r="L19" i="25"/>
  <c r="K19" i="25"/>
  <c r="J19" i="25"/>
  <c r="I19" i="25"/>
  <c r="H19" i="25"/>
  <c r="G19" i="25"/>
  <c r="F19" i="25"/>
  <c r="E19" i="25"/>
  <c r="N19" i="25" s="1"/>
  <c r="D19" i="25"/>
  <c r="C19" i="25"/>
  <c r="B19" i="25"/>
  <c r="M18" i="25"/>
  <c r="L18" i="25"/>
  <c r="K18" i="25"/>
  <c r="J18" i="25"/>
  <c r="I18" i="25"/>
  <c r="H18" i="25"/>
  <c r="G18" i="25"/>
  <c r="F18" i="25"/>
  <c r="E18" i="25"/>
  <c r="D18" i="25"/>
  <c r="C18" i="25"/>
  <c r="E17" i="25"/>
  <c r="D17" i="25"/>
  <c r="C17" i="25"/>
  <c r="B17" i="25"/>
  <c r="C16" i="25"/>
  <c r="B16" i="25"/>
  <c r="N16" i="25" s="1"/>
  <c r="M15" i="25"/>
  <c r="L15" i="25"/>
  <c r="K15" i="25"/>
  <c r="J15" i="25"/>
  <c r="I15" i="25"/>
  <c r="H15" i="25"/>
  <c r="G15" i="25"/>
  <c r="F15" i="25"/>
  <c r="N15" i="25" s="1"/>
  <c r="E15" i="25"/>
  <c r="D15" i="25"/>
  <c r="B14" i="25"/>
  <c r="N14" i="25" s="1"/>
  <c r="B13" i="25"/>
  <c r="N13" i="25" s="1"/>
  <c r="M12" i="25"/>
  <c r="L12" i="25"/>
  <c r="K12" i="25"/>
  <c r="J12" i="25"/>
  <c r="I12" i="25"/>
  <c r="H12" i="25"/>
  <c r="G11" i="25"/>
  <c r="N11" i="25" s="1"/>
  <c r="M10" i="25"/>
  <c r="L10" i="25"/>
  <c r="K10" i="25"/>
  <c r="J10" i="25"/>
  <c r="I10" i="25"/>
  <c r="H10" i="25"/>
  <c r="G10" i="25"/>
  <c r="F10" i="25"/>
  <c r="E10" i="25"/>
  <c r="D10" i="25"/>
  <c r="C10" i="25"/>
  <c r="M9" i="25"/>
  <c r="AM180" i="12" s="1"/>
  <c r="AK36" i="26" s="1"/>
  <c r="L9" i="25"/>
  <c r="AL180" i="12" s="1"/>
  <c r="AJ36" i="26" s="1"/>
  <c r="K9" i="25"/>
  <c r="AK180" i="12" s="1"/>
  <c r="AI36" i="26" s="1"/>
  <c r="J9" i="25"/>
  <c r="I9" i="25"/>
  <c r="H9" i="25"/>
  <c r="AH180" i="12" s="1"/>
  <c r="AF36" i="26" s="1"/>
  <c r="G9" i="25"/>
  <c r="G25" i="25" s="1"/>
  <c r="F9" i="25"/>
  <c r="E9" i="25"/>
  <c r="AE180" i="12" s="1"/>
  <c r="AC36" i="26" s="1"/>
  <c r="D9" i="25"/>
  <c r="AD180" i="12" s="1"/>
  <c r="AB36" i="26" s="1"/>
  <c r="C9" i="25"/>
  <c r="AC180" i="12" s="1"/>
  <c r="AA36" i="26" s="1"/>
  <c r="B9" i="25"/>
  <c r="N8" i="25"/>
  <c r="M7" i="25"/>
  <c r="L7" i="25"/>
  <c r="K7" i="25"/>
  <c r="J7" i="25"/>
  <c r="I7" i="25"/>
  <c r="H7" i="25"/>
  <c r="G7" i="25"/>
  <c r="F7" i="25"/>
  <c r="E7" i="25"/>
  <c r="D7" i="25"/>
  <c r="C7" i="25"/>
  <c r="B7" i="25"/>
  <c r="M35" i="24"/>
  <c r="L35" i="24"/>
  <c r="K35" i="24"/>
  <c r="J35" i="24"/>
  <c r="I35" i="24"/>
  <c r="G35" i="24"/>
  <c r="F35" i="24"/>
  <c r="E35" i="24"/>
  <c r="D35" i="24"/>
  <c r="H34" i="24"/>
  <c r="H35" i="24" s="1"/>
  <c r="C34" i="24"/>
  <c r="C35" i="24" s="1"/>
  <c r="B34" i="24"/>
  <c r="B35" i="24" s="1"/>
  <c r="M32" i="24"/>
  <c r="L32" i="24"/>
  <c r="K32" i="24"/>
  <c r="J32" i="24"/>
  <c r="H32" i="24"/>
  <c r="G32" i="24"/>
  <c r="F32" i="24"/>
  <c r="D32" i="24"/>
  <c r="C32" i="24"/>
  <c r="B32" i="24"/>
  <c r="I31" i="24"/>
  <c r="E31" i="24"/>
  <c r="E32" i="24" s="1"/>
  <c r="I30" i="24"/>
  <c r="N30" i="24" s="1"/>
  <c r="F26" i="24"/>
  <c r="N26" i="24" s="1"/>
  <c r="M25" i="24"/>
  <c r="N25" i="24" s="1"/>
  <c r="M24" i="24"/>
  <c r="L24" i="24"/>
  <c r="K24" i="24"/>
  <c r="J24" i="24"/>
  <c r="I24" i="24"/>
  <c r="H24" i="24"/>
  <c r="G24" i="24"/>
  <c r="F24" i="24"/>
  <c r="E24" i="24"/>
  <c r="D24" i="24"/>
  <c r="C24" i="24"/>
  <c r="B24" i="24"/>
  <c r="N24" i="24" s="1"/>
  <c r="K23" i="24"/>
  <c r="J23" i="24"/>
  <c r="I23" i="24"/>
  <c r="H23" i="24"/>
  <c r="G23" i="24"/>
  <c r="F23" i="24"/>
  <c r="E23" i="24"/>
  <c r="D23" i="24"/>
  <c r="C23" i="24"/>
  <c r="G22" i="24"/>
  <c r="E22" i="24"/>
  <c r="D22" i="24"/>
  <c r="C22" i="24"/>
  <c r="B22" i="24"/>
  <c r="I21" i="24"/>
  <c r="H21" i="24"/>
  <c r="G21" i="24"/>
  <c r="F21" i="24"/>
  <c r="E21" i="24"/>
  <c r="D21" i="24"/>
  <c r="C21" i="24"/>
  <c r="B21" i="24"/>
  <c r="M20" i="24"/>
  <c r="L20" i="24"/>
  <c r="K20" i="24"/>
  <c r="J20" i="24"/>
  <c r="I20" i="24"/>
  <c r="B20" i="24"/>
  <c r="M19" i="24"/>
  <c r="L19" i="24"/>
  <c r="K19" i="24"/>
  <c r="J19" i="24"/>
  <c r="I19" i="24"/>
  <c r="H19" i="24"/>
  <c r="G19" i="24"/>
  <c r="F19" i="24"/>
  <c r="E19" i="24"/>
  <c r="D19" i="24"/>
  <c r="C19" i="24"/>
  <c r="B19" i="24"/>
  <c r="M18" i="24"/>
  <c r="L18" i="24"/>
  <c r="K18" i="24"/>
  <c r="J18" i="24"/>
  <c r="I18" i="24"/>
  <c r="H18" i="24"/>
  <c r="G18" i="24"/>
  <c r="F18" i="24"/>
  <c r="E18" i="24"/>
  <c r="D18" i="24"/>
  <c r="C18" i="24"/>
  <c r="M17" i="24"/>
  <c r="L17" i="24"/>
  <c r="K17" i="24"/>
  <c r="J17" i="24"/>
  <c r="I17" i="24"/>
  <c r="H17" i="24"/>
  <c r="G17" i="24"/>
  <c r="F17" i="24"/>
  <c r="E17" i="24"/>
  <c r="J16" i="24"/>
  <c r="F16" i="24"/>
  <c r="E16" i="24"/>
  <c r="D16" i="24"/>
  <c r="C16" i="24"/>
  <c r="M15" i="24"/>
  <c r="L15" i="24"/>
  <c r="K15" i="24"/>
  <c r="J15" i="24"/>
  <c r="I15" i="24"/>
  <c r="H15" i="24"/>
  <c r="G15" i="24"/>
  <c r="F15" i="24"/>
  <c r="E15" i="24"/>
  <c r="D15" i="24"/>
  <c r="C15" i="24"/>
  <c r="B15" i="24"/>
  <c r="M14" i="24"/>
  <c r="L14" i="24"/>
  <c r="K14" i="24"/>
  <c r="J14" i="24"/>
  <c r="I14" i="24"/>
  <c r="H14" i="24"/>
  <c r="G14" i="24"/>
  <c r="F14" i="24"/>
  <c r="E14" i="24"/>
  <c r="D14" i="24"/>
  <c r="C14" i="24"/>
  <c r="B14" i="24"/>
  <c r="M13" i="24"/>
  <c r="L13" i="24"/>
  <c r="K13" i="24"/>
  <c r="J13" i="24"/>
  <c r="I13" i="24"/>
  <c r="M12" i="24"/>
  <c r="L12" i="24"/>
  <c r="K12" i="24"/>
  <c r="J12" i="24"/>
  <c r="I12" i="24"/>
  <c r="H12" i="24"/>
  <c r="G12" i="24"/>
  <c r="F12" i="24"/>
  <c r="E12" i="24"/>
  <c r="D12" i="24"/>
  <c r="C12" i="24"/>
  <c r="B12" i="24"/>
  <c r="G11" i="24"/>
  <c r="N11" i="24" s="1"/>
  <c r="M10" i="24"/>
  <c r="L10" i="24"/>
  <c r="K10" i="24"/>
  <c r="J10" i="24"/>
  <c r="I10" i="24"/>
  <c r="H10" i="24"/>
  <c r="G10" i="24"/>
  <c r="F10" i="24"/>
  <c r="E10" i="24"/>
  <c r="D10" i="24"/>
  <c r="C10" i="24"/>
  <c r="B10" i="24"/>
  <c r="M9" i="24"/>
  <c r="L9" i="24"/>
  <c r="BJ180" i="12" s="1"/>
  <c r="BH36" i="26" s="1"/>
  <c r="K9" i="24"/>
  <c r="BI180" i="12" s="1"/>
  <c r="BG36" i="26" s="1"/>
  <c r="J9" i="24"/>
  <c r="I9" i="24"/>
  <c r="H9" i="24"/>
  <c r="BF180" i="12" s="1"/>
  <c r="BD36" i="26" s="1"/>
  <c r="G9" i="24"/>
  <c r="F9" i="24"/>
  <c r="E9" i="24"/>
  <c r="D9" i="24"/>
  <c r="BB180" i="12" s="1"/>
  <c r="AZ36" i="26" s="1"/>
  <c r="C9" i="24"/>
  <c r="B9" i="24"/>
  <c r="N8" i="24"/>
  <c r="M7" i="24"/>
  <c r="L7" i="24"/>
  <c r="K7" i="24"/>
  <c r="J7" i="24"/>
  <c r="I7" i="24"/>
  <c r="H7" i="24"/>
  <c r="G7" i="24"/>
  <c r="F7" i="24"/>
  <c r="E7" i="24"/>
  <c r="D7" i="24"/>
  <c r="C7" i="24"/>
  <c r="B7" i="24"/>
  <c r="B7" i="23"/>
  <c r="C7" i="23"/>
  <c r="D7" i="23"/>
  <c r="E7" i="23"/>
  <c r="F7" i="23"/>
  <c r="G7" i="23"/>
  <c r="H7" i="23"/>
  <c r="I7" i="23"/>
  <c r="J7" i="23"/>
  <c r="K7" i="23"/>
  <c r="L7" i="23"/>
  <c r="M7" i="23"/>
  <c r="N8" i="23"/>
  <c r="B9" i="23"/>
  <c r="D180" i="12" s="1"/>
  <c r="B36" i="26" s="1"/>
  <c r="C9" i="23"/>
  <c r="D9" i="23"/>
  <c r="F180" i="12" s="1"/>
  <c r="D36" i="26" s="1"/>
  <c r="E9" i="23"/>
  <c r="G180" i="12" s="1"/>
  <c r="E36" i="26" s="1"/>
  <c r="F9" i="23"/>
  <c r="H180" i="12" s="1"/>
  <c r="F36" i="26" s="1"/>
  <c r="G9" i="23"/>
  <c r="I180" i="12" s="1"/>
  <c r="G36" i="26" s="1"/>
  <c r="H9" i="23"/>
  <c r="J180" i="12" s="1"/>
  <c r="H36" i="26" s="1"/>
  <c r="I9" i="23"/>
  <c r="K180" i="12" s="1"/>
  <c r="I36" i="26" s="1"/>
  <c r="J9" i="23"/>
  <c r="K9" i="23"/>
  <c r="L9" i="23"/>
  <c r="N180" i="12" s="1"/>
  <c r="L36" i="26" s="1"/>
  <c r="M9" i="23"/>
  <c r="O180" i="12" s="1"/>
  <c r="M36" i="26" s="1"/>
  <c r="M10" i="23"/>
  <c r="N10" i="23" s="1"/>
  <c r="C11" i="23"/>
  <c r="D11" i="23"/>
  <c r="E11" i="23"/>
  <c r="F11" i="23"/>
  <c r="G11" i="23"/>
  <c r="H11" i="23"/>
  <c r="I11" i="23"/>
  <c r="J11" i="23"/>
  <c r="K11" i="23"/>
  <c r="L11" i="23"/>
  <c r="M11" i="23"/>
  <c r="B12" i="23"/>
  <c r="C12" i="23"/>
  <c r="D12" i="23"/>
  <c r="E12" i="23"/>
  <c r="F12" i="23"/>
  <c r="G12" i="23"/>
  <c r="G19" i="23" s="1"/>
  <c r="G20" i="23" s="1"/>
  <c r="H12" i="23"/>
  <c r="I12" i="23"/>
  <c r="J12" i="23"/>
  <c r="K12" i="23"/>
  <c r="L12" i="23"/>
  <c r="M12" i="23"/>
  <c r="G13" i="23"/>
  <c r="H13" i="23"/>
  <c r="I13" i="23"/>
  <c r="J13" i="23"/>
  <c r="K13" i="23"/>
  <c r="L13" i="23"/>
  <c r="M13" i="23"/>
  <c r="I14" i="23"/>
  <c r="K14" i="23"/>
  <c r="L14" i="23"/>
  <c r="M14" i="23"/>
  <c r="M15" i="23"/>
  <c r="N15" i="23" s="1"/>
  <c r="B16" i="23"/>
  <c r="C16" i="23"/>
  <c r="D16" i="23"/>
  <c r="E16" i="23"/>
  <c r="F16" i="23"/>
  <c r="G16" i="23"/>
  <c r="H16" i="23"/>
  <c r="I16" i="23"/>
  <c r="J16" i="23"/>
  <c r="K16" i="23"/>
  <c r="L16" i="23"/>
  <c r="M16" i="23"/>
  <c r="F17" i="23"/>
  <c r="G17" i="23"/>
  <c r="H17" i="23"/>
  <c r="J17" i="23"/>
  <c r="L17" i="23"/>
  <c r="B18" i="23"/>
  <c r="N18" i="23" s="1"/>
  <c r="F19" i="23"/>
  <c r="F20" i="23" s="1"/>
  <c r="C22" i="23"/>
  <c r="D22" i="23"/>
  <c r="E22" i="23"/>
  <c r="F22" i="23"/>
  <c r="G23" i="23"/>
  <c r="M24" i="23"/>
  <c r="N24" i="23" s="1"/>
  <c r="C25" i="23"/>
  <c r="D25" i="23"/>
  <c r="N25" i="23" s="1"/>
  <c r="M25" i="23"/>
  <c r="E26" i="23"/>
  <c r="F26" i="23"/>
  <c r="M26" i="23"/>
  <c r="M27" i="23"/>
  <c r="N27" i="23"/>
  <c r="B28" i="23"/>
  <c r="F28" i="23"/>
  <c r="H28" i="23"/>
  <c r="I28" i="23"/>
  <c r="J28" i="23"/>
  <c r="K28" i="23"/>
  <c r="L28" i="23"/>
  <c r="L37" i="22"/>
  <c r="K37" i="22"/>
  <c r="C37" i="22"/>
  <c r="H36" i="22"/>
  <c r="N36" i="22" s="1"/>
  <c r="N35" i="22"/>
  <c r="F35" i="22"/>
  <c r="J34" i="22"/>
  <c r="J37" i="22" s="1"/>
  <c r="M33" i="22"/>
  <c r="M37" i="22" s="1"/>
  <c r="I33" i="22"/>
  <c r="I37" i="22" s="1"/>
  <c r="G33" i="22"/>
  <c r="G37" i="22" s="1"/>
  <c r="F33" i="22"/>
  <c r="E33" i="22"/>
  <c r="E37" i="22" s="1"/>
  <c r="D33" i="22"/>
  <c r="H32" i="22"/>
  <c r="B32" i="22"/>
  <c r="N32" i="22" s="1"/>
  <c r="H31" i="22"/>
  <c r="F30" i="22"/>
  <c r="B30" i="22"/>
  <c r="F29" i="22"/>
  <c r="L25" i="22"/>
  <c r="K25" i="22"/>
  <c r="J25" i="22"/>
  <c r="I25" i="22"/>
  <c r="H25" i="22"/>
  <c r="G25" i="22"/>
  <c r="F25" i="22"/>
  <c r="E25" i="22"/>
  <c r="D25" i="22"/>
  <c r="C25" i="22"/>
  <c r="B25" i="22"/>
  <c r="N24" i="22"/>
  <c r="M24" i="22"/>
  <c r="M23" i="22"/>
  <c r="N23" i="22" s="1"/>
  <c r="M22" i="22"/>
  <c r="G22" i="22"/>
  <c r="C22" i="22"/>
  <c r="B22" i="22"/>
  <c r="M21" i="22"/>
  <c r="L21" i="22"/>
  <c r="K21" i="22"/>
  <c r="J21" i="22"/>
  <c r="I21" i="22"/>
  <c r="H21" i="22"/>
  <c r="G21" i="22"/>
  <c r="F21" i="22"/>
  <c r="E21" i="22"/>
  <c r="D21" i="22"/>
  <c r="C21" i="22"/>
  <c r="B21" i="22"/>
  <c r="G20" i="22"/>
  <c r="F20" i="22"/>
  <c r="E20" i="22"/>
  <c r="D20" i="22"/>
  <c r="C20" i="22"/>
  <c r="B20" i="22"/>
  <c r="E19" i="22"/>
  <c r="D19" i="22"/>
  <c r="C19" i="22"/>
  <c r="B19" i="22"/>
  <c r="L18" i="22"/>
  <c r="K18" i="22"/>
  <c r="J18" i="22"/>
  <c r="I18" i="22"/>
  <c r="M17" i="22"/>
  <c r="L17" i="22"/>
  <c r="K17" i="22"/>
  <c r="J17" i="22"/>
  <c r="I17" i="22"/>
  <c r="H17" i="22"/>
  <c r="G17" i="22"/>
  <c r="F17" i="22"/>
  <c r="E17" i="22"/>
  <c r="D17" i="22"/>
  <c r="B17" i="22"/>
  <c r="J16" i="22"/>
  <c r="I16" i="22"/>
  <c r="H16" i="22"/>
  <c r="G16" i="22"/>
  <c r="F16" i="22"/>
  <c r="E16" i="22"/>
  <c r="D16" i="22"/>
  <c r="C16" i="22"/>
  <c r="B16" i="22"/>
  <c r="E15" i="22"/>
  <c r="D15" i="22"/>
  <c r="C15" i="22"/>
  <c r="B15" i="22"/>
  <c r="M14" i="22"/>
  <c r="L14" i="22"/>
  <c r="K14" i="22"/>
  <c r="J14" i="22"/>
  <c r="I14" i="22"/>
  <c r="H14" i="22"/>
  <c r="G14" i="22"/>
  <c r="F14" i="22"/>
  <c r="E14" i="22"/>
  <c r="D14" i="22"/>
  <c r="M13" i="22"/>
  <c r="L13" i="22"/>
  <c r="K13" i="22"/>
  <c r="J13" i="22"/>
  <c r="I13" i="22"/>
  <c r="H13" i="22"/>
  <c r="G13" i="22"/>
  <c r="F13" i="22"/>
  <c r="E13" i="22"/>
  <c r="D13" i="22"/>
  <c r="C13" i="22"/>
  <c r="B13" i="22"/>
  <c r="M12" i="22"/>
  <c r="L12" i="22"/>
  <c r="K12" i="22"/>
  <c r="J12" i="22"/>
  <c r="I12" i="22"/>
  <c r="H12" i="22"/>
  <c r="G12" i="22"/>
  <c r="F12" i="22"/>
  <c r="E12" i="22"/>
  <c r="D12" i="22"/>
  <c r="C12" i="22"/>
  <c r="B12" i="22"/>
  <c r="G11" i="22"/>
  <c r="F11" i="22"/>
  <c r="E11" i="22"/>
  <c r="C11" i="22"/>
  <c r="M10" i="22"/>
  <c r="L10" i="22"/>
  <c r="I10" i="22"/>
  <c r="H10" i="22"/>
  <c r="E10" i="22"/>
  <c r="D10" i="22"/>
  <c r="C10" i="22"/>
  <c r="B10" i="22"/>
  <c r="M9" i="22"/>
  <c r="AA180" i="12" s="1"/>
  <c r="Y36" i="26" s="1"/>
  <c r="L9" i="22"/>
  <c r="K9" i="22"/>
  <c r="Y180" i="12" s="1"/>
  <c r="W36" i="26" s="1"/>
  <c r="J9" i="22"/>
  <c r="X180" i="12" s="1"/>
  <c r="V36" i="26" s="1"/>
  <c r="I9" i="22"/>
  <c r="W180" i="12" s="1"/>
  <c r="U36" i="26" s="1"/>
  <c r="H9" i="22"/>
  <c r="G9" i="22"/>
  <c r="U180" i="12" s="1"/>
  <c r="S36" i="26" s="1"/>
  <c r="F9" i="22"/>
  <c r="T180" i="12" s="1"/>
  <c r="R36" i="26" s="1"/>
  <c r="E9" i="22"/>
  <c r="S180" i="12" s="1"/>
  <c r="Q36" i="26" s="1"/>
  <c r="D9" i="22"/>
  <c r="C9" i="22"/>
  <c r="Q180" i="12" s="1"/>
  <c r="O36" i="26" s="1"/>
  <c r="B9" i="22"/>
  <c r="N8" i="22"/>
  <c r="M7" i="22"/>
  <c r="L7" i="22"/>
  <c r="K7" i="22"/>
  <c r="J7" i="22"/>
  <c r="I7" i="22"/>
  <c r="H7" i="22"/>
  <c r="G7" i="22"/>
  <c r="F7" i="22"/>
  <c r="E7" i="22"/>
  <c r="D7" i="22"/>
  <c r="C7" i="22"/>
  <c r="B7" i="22"/>
  <c r="L26" i="21"/>
  <c r="K26" i="21"/>
  <c r="J26" i="21"/>
  <c r="E26" i="21"/>
  <c r="D26" i="21"/>
  <c r="C26" i="21"/>
  <c r="B26" i="21"/>
  <c r="M25" i="21"/>
  <c r="M26" i="21" s="1"/>
  <c r="I25" i="21"/>
  <c r="I26" i="21" s="1"/>
  <c r="H25" i="21"/>
  <c r="H26" i="21" s="1"/>
  <c r="G25" i="21"/>
  <c r="G26" i="21" s="1"/>
  <c r="F25" i="21"/>
  <c r="F26" i="21" s="1"/>
  <c r="N21" i="21"/>
  <c r="K21" i="21"/>
  <c r="G20" i="21"/>
  <c r="F20" i="21"/>
  <c r="E20" i="21"/>
  <c r="D20" i="21"/>
  <c r="C20" i="21"/>
  <c r="B20" i="21"/>
  <c r="M19" i="21"/>
  <c r="L19" i="21"/>
  <c r="K19" i="21"/>
  <c r="J19" i="21"/>
  <c r="I19" i="21"/>
  <c r="H19" i="21"/>
  <c r="G19" i="21"/>
  <c r="F19" i="21"/>
  <c r="E19" i="21"/>
  <c r="D19" i="21"/>
  <c r="C19" i="21"/>
  <c r="B19" i="21"/>
  <c r="H18" i="21"/>
  <c r="G18" i="21"/>
  <c r="F18" i="21"/>
  <c r="E18" i="21"/>
  <c r="D18" i="21"/>
  <c r="C18" i="21"/>
  <c r="B18" i="21"/>
  <c r="M17" i="21"/>
  <c r="L17" i="21"/>
  <c r="K17" i="21"/>
  <c r="M16" i="21"/>
  <c r="L16" i="21"/>
  <c r="K16" i="21"/>
  <c r="J16" i="21"/>
  <c r="I16" i="21"/>
  <c r="H16" i="21"/>
  <c r="G16" i="21"/>
  <c r="F16" i="21"/>
  <c r="E16" i="21"/>
  <c r="D16" i="21"/>
  <c r="C16" i="21"/>
  <c r="B16" i="21"/>
  <c r="M15" i="21"/>
  <c r="L15" i="21"/>
  <c r="K15" i="21"/>
  <c r="J15" i="21"/>
  <c r="I15" i="21"/>
  <c r="H15" i="21"/>
  <c r="G15" i="21"/>
  <c r="F15" i="21"/>
  <c r="E15" i="21"/>
  <c r="D15" i="21"/>
  <c r="C15" i="21"/>
  <c r="B15" i="21"/>
  <c r="M14" i="21"/>
  <c r="L14" i="21"/>
  <c r="K14" i="21"/>
  <c r="G14" i="21"/>
  <c r="F14" i="21"/>
  <c r="E14" i="21"/>
  <c r="D14" i="21"/>
  <c r="M13" i="21"/>
  <c r="L13" i="21"/>
  <c r="K13" i="21"/>
  <c r="J13" i="21"/>
  <c r="I13" i="21"/>
  <c r="H13" i="21"/>
  <c r="G13" i="21"/>
  <c r="F13" i="21"/>
  <c r="E13" i="21"/>
  <c r="D13" i="21"/>
  <c r="C13" i="21"/>
  <c r="B13" i="21"/>
  <c r="M12" i="21"/>
  <c r="L12" i="21"/>
  <c r="K12" i="21"/>
  <c r="J12" i="21"/>
  <c r="I12" i="21"/>
  <c r="H12" i="21"/>
  <c r="G12" i="21"/>
  <c r="F12" i="21"/>
  <c r="E12" i="21"/>
  <c r="D12" i="21"/>
  <c r="C12" i="21"/>
  <c r="B12" i="21"/>
  <c r="M11" i="21"/>
  <c r="L11" i="21"/>
  <c r="K11" i="21"/>
  <c r="J11" i="21"/>
  <c r="I11" i="21"/>
  <c r="H11" i="21"/>
  <c r="G11" i="21"/>
  <c r="F11" i="21"/>
  <c r="E11" i="21"/>
  <c r="D11" i="21"/>
  <c r="C11" i="21"/>
  <c r="B11" i="21"/>
  <c r="M10" i="21"/>
  <c r="AY180" i="12" s="1"/>
  <c r="AW36" i="26" s="1"/>
  <c r="L10" i="21"/>
  <c r="K10" i="21"/>
  <c r="J10" i="21"/>
  <c r="I10" i="21"/>
  <c r="H10" i="21"/>
  <c r="AT180" i="12" s="1"/>
  <c r="AR36" i="26" s="1"/>
  <c r="G10" i="21"/>
  <c r="F10" i="21"/>
  <c r="AR180" i="12" s="1"/>
  <c r="AP36" i="26" s="1"/>
  <c r="E10" i="21"/>
  <c r="D10" i="21"/>
  <c r="C10" i="21"/>
  <c r="B10" i="21"/>
  <c r="F9" i="21"/>
  <c r="N8" i="21"/>
  <c r="M7" i="21"/>
  <c r="L7" i="21"/>
  <c r="K7" i="21"/>
  <c r="J7" i="21"/>
  <c r="I7" i="21"/>
  <c r="H7" i="21"/>
  <c r="G7" i="21"/>
  <c r="F7" i="21"/>
  <c r="E7" i="21"/>
  <c r="D7" i="21"/>
  <c r="C7" i="21"/>
  <c r="B7" i="21"/>
  <c r="M112" i="20"/>
  <c r="L112" i="20"/>
  <c r="K112" i="20"/>
  <c r="J112" i="20"/>
  <c r="I112" i="20"/>
  <c r="H112" i="20"/>
  <c r="G112" i="20"/>
  <c r="F112" i="20"/>
  <c r="E112" i="20"/>
  <c r="D112" i="20"/>
  <c r="C112" i="20"/>
  <c r="B112" i="20"/>
  <c r="B111" i="20"/>
  <c r="C111" i="20" s="1"/>
  <c r="D111" i="20" s="1"/>
  <c r="E111" i="20" s="1"/>
  <c r="F111" i="20" s="1"/>
  <c r="G111" i="20" s="1"/>
  <c r="H111" i="20" s="1"/>
  <c r="I111" i="20" s="1"/>
  <c r="J111" i="20" s="1"/>
  <c r="K111" i="20" s="1"/>
  <c r="L111" i="20" s="1"/>
  <c r="M111" i="20" s="1"/>
  <c r="B110" i="20"/>
  <c r="C110" i="20" s="1"/>
  <c r="D110" i="20" s="1"/>
  <c r="E110" i="20" s="1"/>
  <c r="F110" i="20" s="1"/>
  <c r="G110" i="20" s="1"/>
  <c r="H110" i="20" s="1"/>
  <c r="I110" i="20" s="1"/>
  <c r="J110" i="20" s="1"/>
  <c r="K110" i="20" s="1"/>
  <c r="L110" i="20" s="1"/>
  <c r="M110" i="20" s="1"/>
  <c r="B109" i="20"/>
  <c r="C109" i="20" s="1"/>
  <c r="D109" i="20" s="1"/>
  <c r="E109" i="20" s="1"/>
  <c r="F109" i="20" s="1"/>
  <c r="G109" i="20" s="1"/>
  <c r="H109" i="20" s="1"/>
  <c r="I109" i="20" s="1"/>
  <c r="J109" i="20" s="1"/>
  <c r="K109" i="20" s="1"/>
  <c r="L109" i="20" s="1"/>
  <c r="M109" i="20" s="1"/>
  <c r="B108" i="20"/>
  <c r="C108" i="20" s="1"/>
  <c r="D108" i="20" s="1"/>
  <c r="E108" i="20" s="1"/>
  <c r="F108" i="20" s="1"/>
  <c r="G108" i="20" s="1"/>
  <c r="H108" i="20" s="1"/>
  <c r="I108" i="20" s="1"/>
  <c r="J108" i="20" s="1"/>
  <c r="K108" i="20" s="1"/>
  <c r="L108" i="20" s="1"/>
  <c r="M108" i="20" s="1"/>
  <c r="F107" i="20"/>
  <c r="G107" i="20" s="1"/>
  <c r="H107" i="20" s="1"/>
  <c r="I107" i="20" s="1"/>
  <c r="J107" i="20" s="1"/>
  <c r="K107" i="20" s="1"/>
  <c r="L107" i="20" s="1"/>
  <c r="M107" i="20" s="1"/>
  <c r="B107" i="20"/>
  <c r="C107" i="20" s="1"/>
  <c r="D107" i="20" s="1"/>
  <c r="E107" i="20" s="1"/>
  <c r="B104" i="20"/>
  <c r="C104" i="20" s="1"/>
  <c r="D104" i="20" s="1"/>
  <c r="E104" i="20" s="1"/>
  <c r="F104" i="20" s="1"/>
  <c r="G104" i="20" s="1"/>
  <c r="H104" i="20" s="1"/>
  <c r="I104" i="20" s="1"/>
  <c r="J104" i="20" s="1"/>
  <c r="K104" i="20" s="1"/>
  <c r="L104" i="20" s="1"/>
  <c r="M104" i="20" s="1"/>
  <c r="C103" i="20"/>
  <c r="D103" i="20" s="1"/>
  <c r="B101" i="20"/>
  <c r="C101" i="20" s="1"/>
  <c r="D101" i="20" s="1"/>
  <c r="E101" i="20" s="1"/>
  <c r="F101" i="20" s="1"/>
  <c r="G101" i="20" s="1"/>
  <c r="H101" i="20" s="1"/>
  <c r="I101" i="20" s="1"/>
  <c r="J101" i="20" s="1"/>
  <c r="K101" i="20" s="1"/>
  <c r="L101" i="20" s="1"/>
  <c r="M101" i="20" s="1"/>
  <c r="B100" i="20"/>
  <c r="C100" i="20" s="1"/>
  <c r="D100" i="20" s="1"/>
  <c r="E100" i="20" s="1"/>
  <c r="F100" i="20" s="1"/>
  <c r="G100" i="20" s="1"/>
  <c r="H100" i="20" s="1"/>
  <c r="I100" i="20" s="1"/>
  <c r="J100" i="20" s="1"/>
  <c r="K100" i="20" s="1"/>
  <c r="L100" i="20" s="1"/>
  <c r="M100" i="20" s="1"/>
  <c r="C99" i="20"/>
  <c r="D99" i="20" s="1"/>
  <c r="C98" i="20"/>
  <c r="D98" i="20" s="1"/>
  <c r="H97" i="20"/>
  <c r="I97" i="20" s="1"/>
  <c r="J97" i="20" s="1"/>
  <c r="K97" i="20" s="1"/>
  <c r="L97" i="20" s="1"/>
  <c r="M97" i="20" s="1"/>
  <c r="C97" i="20"/>
  <c r="D97" i="20" s="1"/>
  <c r="E97" i="20" s="1"/>
  <c r="F97" i="20" s="1"/>
  <c r="G97" i="20" s="1"/>
  <c r="B97" i="20"/>
  <c r="B96" i="20"/>
  <c r="C96" i="20" s="1"/>
  <c r="B90" i="20"/>
  <c r="C90" i="20" s="1"/>
  <c r="D90" i="20" s="1"/>
  <c r="E90" i="20" s="1"/>
  <c r="F90" i="20" s="1"/>
  <c r="G90" i="20" s="1"/>
  <c r="H90" i="20" s="1"/>
  <c r="I90" i="20" s="1"/>
  <c r="J90" i="20" s="1"/>
  <c r="K90" i="20" s="1"/>
  <c r="L90" i="20" s="1"/>
  <c r="M90" i="20" s="1"/>
  <c r="B89" i="20"/>
  <c r="B87" i="20"/>
  <c r="C87" i="20" s="1"/>
  <c r="D87" i="20" s="1"/>
  <c r="E87" i="20" s="1"/>
  <c r="F87" i="20" s="1"/>
  <c r="G87" i="20" s="1"/>
  <c r="H87" i="20" s="1"/>
  <c r="I87" i="20" s="1"/>
  <c r="J87" i="20" s="1"/>
  <c r="K87" i="20" s="1"/>
  <c r="L87" i="20" s="1"/>
  <c r="M87" i="20" s="1"/>
  <c r="C86" i="20"/>
  <c r="B86" i="20"/>
  <c r="B84" i="20"/>
  <c r="C84" i="20" s="1"/>
  <c r="D84" i="20" s="1"/>
  <c r="E84" i="20" s="1"/>
  <c r="F84" i="20" s="1"/>
  <c r="G84" i="20" s="1"/>
  <c r="H84" i="20" s="1"/>
  <c r="I84" i="20" s="1"/>
  <c r="J84" i="20" s="1"/>
  <c r="K84" i="20" s="1"/>
  <c r="L84" i="20" s="1"/>
  <c r="M84" i="20" s="1"/>
  <c r="B83" i="20"/>
  <c r="C82" i="20"/>
  <c r="B78" i="20"/>
  <c r="C78" i="20" s="1"/>
  <c r="D78" i="20" s="1"/>
  <c r="E78" i="20" s="1"/>
  <c r="F78" i="20" s="1"/>
  <c r="G78" i="20" s="1"/>
  <c r="H78" i="20" s="1"/>
  <c r="I78" i="20" s="1"/>
  <c r="J78" i="20" s="1"/>
  <c r="K78" i="20" s="1"/>
  <c r="L78" i="20" s="1"/>
  <c r="M78" i="20" s="1"/>
  <c r="F76" i="20"/>
  <c r="G76" i="20" s="1"/>
  <c r="H76" i="20" s="1"/>
  <c r="I76" i="20" s="1"/>
  <c r="J76" i="20" s="1"/>
  <c r="K76" i="20" s="1"/>
  <c r="L76" i="20" s="1"/>
  <c r="M76" i="20" s="1"/>
  <c r="B76" i="20"/>
  <c r="C76" i="20" s="1"/>
  <c r="D76" i="20" s="1"/>
  <c r="E76" i="20" s="1"/>
  <c r="B75" i="20"/>
  <c r="C75" i="20" s="1"/>
  <c r="D75" i="20" s="1"/>
  <c r="E75" i="20" s="1"/>
  <c r="F75" i="20" s="1"/>
  <c r="G75" i="20" s="1"/>
  <c r="H75" i="20" s="1"/>
  <c r="I75" i="20" s="1"/>
  <c r="J75" i="20" s="1"/>
  <c r="K75" i="20" s="1"/>
  <c r="L75" i="20" s="1"/>
  <c r="M75" i="20" s="1"/>
  <c r="B74" i="20"/>
  <c r="C74" i="20" s="1"/>
  <c r="D74" i="20" s="1"/>
  <c r="E74" i="20" s="1"/>
  <c r="F74" i="20" s="1"/>
  <c r="G74" i="20" s="1"/>
  <c r="H74" i="20" s="1"/>
  <c r="I74" i="20" s="1"/>
  <c r="J74" i="20" s="1"/>
  <c r="K74" i="20" s="1"/>
  <c r="L74" i="20" s="1"/>
  <c r="M74" i="20" s="1"/>
  <c r="M73" i="20"/>
  <c r="C73" i="20"/>
  <c r="D73" i="20" s="1"/>
  <c r="E73" i="20" s="1"/>
  <c r="F73" i="20" s="1"/>
  <c r="B72" i="20"/>
  <c r="C72" i="20" s="1"/>
  <c r="D72" i="20" s="1"/>
  <c r="E72" i="20" s="1"/>
  <c r="F72" i="20" s="1"/>
  <c r="G72" i="20" s="1"/>
  <c r="H72" i="20" s="1"/>
  <c r="I72" i="20" s="1"/>
  <c r="J72" i="20" s="1"/>
  <c r="K72" i="20" s="1"/>
  <c r="L72" i="20" s="1"/>
  <c r="M72" i="20" s="1"/>
  <c r="B70" i="20"/>
  <c r="C70" i="20" s="1"/>
  <c r="D70" i="20" s="1"/>
  <c r="E70" i="20" s="1"/>
  <c r="F70" i="20" s="1"/>
  <c r="G70" i="20" s="1"/>
  <c r="H70" i="20" s="1"/>
  <c r="I70" i="20" s="1"/>
  <c r="J70" i="20" s="1"/>
  <c r="K70" i="20" s="1"/>
  <c r="L70" i="20" s="1"/>
  <c r="M70" i="20" s="1"/>
  <c r="B69" i="20"/>
  <c r="C69" i="20" s="1"/>
  <c r="B68" i="20"/>
  <c r="C68" i="20" s="1"/>
  <c r="D68" i="20" s="1"/>
  <c r="E68" i="20" s="1"/>
  <c r="F68" i="20" s="1"/>
  <c r="G68" i="20" s="1"/>
  <c r="H68" i="20" s="1"/>
  <c r="I68" i="20" s="1"/>
  <c r="J68" i="20" s="1"/>
  <c r="K68" i="20" s="1"/>
  <c r="L68" i="20" s="1"/>
  <c r="M68" i="20" s="1"/>
  <c r="B67" i="20"/>
  <c r="C67" i="20" s="1"/>
  <c r="D67" i="20" s="1"/>
  <c r="E67" i="20" s="1"/>
  <c r="F67" i="20" s="1"/>
  <c r="G67" i="20" s="1"/>
  <c r="H67" i="20" s="1"/>
  <c r="I67" i="20" s="1"/>
  <c r="J67" i="20" s="1"/>
  <c r="K67" i="20" s="1"/>
  <c r="L67" i="20" s="1"/>
  <c r="M67" i="20" s="1"/>
  <c r="M66" i="20"/>
  <c r="L66" i="20"/>
  <c r="K66" i="20"/>
  <c r="J66" i="20"/>
  <c r="I66" i="20"/>
  <c r="H66" i="20"/>
  <c r="G66" i="20"/>
  <c r="F66" i="20"/>
  <c r="E66" i="20"/>
  <c r="D66" i="20"/>
  <c r="C66" i="20"/>
  <c r="B66" i="20"/>
  <c r="B65" i="20"/>
  <c r="C65" i="20" s="1"/>
  <c r="D65" i="20" s="1"/>
  <c r="E65" i="20" s="1"/>
  <c r="F65" i="20" s="1"/>
  <c r="G65" i="20" s="1"/>
  <c r="H65" i="20" s="1"/>
  <c r="I65" i="20" s="1"/>
  <c r="J65" i="20" s="1"/>
  <c r="K65" i="20" s="1"/>
  <c r="L65" i="20" s="1"/>
  <c r="M65" i="20" s="1"/>
  <c r="B64" i="20"/>
  <c r="C64" i="20" s="1"/>
  <c r="B61" i="20"/>
  <c r="C61" i="20" s="1"/>
  <c r="D61" i="20" s="1"/>
  <c r="E61" i="20" s="1"/>
  <c r="F61" i="20" s="1"/>
  <c r="G61" i="20" s="1"/>
  <c r="H61" i="20" s="1"/>
  <c r="I61" i="20" s="1"/>
  <c r="J61" i="20" s="1"/>
  <c r="K61" i="20" s="1"/>
  <c r="L61" i="20" s="1"/>
  <c r="M61" i="20" s="1"/>
  <c r="K59" i="20"/>
  <c r="L59" i="20" s="1"/>
  <c r="M59" i="20" s="1"/>
  <c r="J59" i="20"/>
  <c r="I59" i="20"/>
  <c r="H59" i="20"/>
  <c r="G59" i="20"/>
  <c r="F59" i="20"/>
  <c r="E59" i="20"/>
  <c r="D59" i="20"/>
  <c r="C59" i="20"/>
  <c r="B59" i="20"/>
  <c r="B60" i="20" s="1"/>
  <c r="C58" i="20"/>
  <c r="C60" i="20" s="1"/>
  <c r="H55" i="20"/>
  <c r="I55" i="20" s="1"/>
  <c r="J55" i="20" s="1"/>
  <c r="K55" i="20" s="1"/>
  <c r="L55" i="20" s="1"/>
  <c r="M55" i="20" s="1"/>
  <c r="G55" i="20"/>
  <c r="E55" i="20"/>
  <c r="F55" i="20" s="1"/>
  <c r="D55" i="20"/>
  <c r="C55" i="20"/>
  <c r="B55" i="20"/>
  <c r="I54" i="20"/>
  <c r="J54" i="20" s="1"/>
  <c r="H54" i="20"/>
  <c r="G54" i="20"/>
  <c r="G56" i="20" s="1"/>
  <c r="F54" i="20"/>
  <c r="E54" i="20"/>
  <c r="E56" i="20" s="1"/>
  <c r="D54" i="20"/>
  <c r="D56" i="20" s="1"/>
  <c r="C54" i="20"/>
  <c r="C56" i="20" s="1"/>
  <c r="B54" i="20"/>
  <c r="B56" i="20" s="1"/>
  <c r="M53" i="20"/>
  <c r="L53" i="20"/>
  <c r="K53" i="20"/>
  <c r="J53" i="20"/>
  <c r="I53" i="20"/>
  <c r="B53" i="20"/>
  <c r="C53" i="20" s="1"/>
  <c r="D53" i="20" s="1"/>
  <c r="E53" i="20" s="1"/>
  <c r="F53" i="20" s="1"/>
  <c r="G53" i="20" s="1"/>
  <c r="H53" i="20" s="1"/>
  <c r="M52" i="20"/>
  <c r="L52" i="20"/>
  <c r="K52" i="20"/>
  <c r="J52" i="20"/>
  <c r="I52" i="20"/>
  <c r="H52" i="20"/>
  <c r="G52" i="20"/>
  <c r="F52" i="20"/>
  <c r="E52" i="20"/>
  <c r="D52" i="20"/>
  <c r="C52" i="20"/>
  <c r="B52" i="20"/>
  <c r="M51" i="20"/>
  <c r="L51" i="20"/>
  <c r="K51" i="20"/>
  <c r="J51" i="20"/>
  <c r="I51" i="20"/>
  <c r="H51" i="20"/>
  <c r="G51" i="20"/>
  <c r="F51" i="20"/>
  <c r="E51" i="20"/>
  <c r="D51" i="20"/>
  <c r="C51" i="20"/>
  <c r="M50" i="20"/>
  <c r="L50" i="20"/>
  <c r="K50" i="20"/>
  <c r="J50" i="20"/>
  <c r="I50" i="20"/>
  <c r="H50" i="20"/>
  <c r="G50" i="20"/>
  <c r="F50" i="20"/>
  <c r="E50" i="20"/>
  <c r="D50" i="20"/>
  <c r="C50" i="20"/>
  <c r="J49" i="20"/>
  <c r="K49" i="20" s="1"/>
  <c r="L49" i="20" s="1"/>
  <c r="M49" i="20" s="1"/>
  <c r="G49" i="20"/>
  <c r="H49" i="20" s="1"/>
  <c r="I49" i="20" s="1"/>
  <c r="F49" i="20"/>
  <c r="E49" i="20"/>
  <c r="D49" i="20"/>
  <c r="C49" i="20"/>
  <c r="B48" i="20"/>
  <c r="C48" i="20" s="1"/>
  <c r="D48" i="20" s="1"/>
  <c r="E48" i="20" s="1"/>
  <c r="F48" i="20" s="1"/>
  <c r="G48" i="20" s="1"/>
  <c r="H48" i="20" s="1"/>
  <c r="I48" i="20" s="1"/>
  <c r="J48" i="20" s="1"/>
  <c r="K48" i="20" s="1"/>
  <c r="L48" i="20" s="1"/>
  <c r="M48" i="20" s="1"/>
  <c r="B47" i="20"/>
  <c r="C47" i="20" s="1"/>
  <c r="D47" i="20" s="1"/>
  <c r="E47" i="20" s="1"/>
  <c r="F47" i="20" s="1"/>
  <c r="G47" i="20" s="1"/>
  <c r="H47" i="20" s="1"/>
  <c r="I47" i="20" s="1"/>
  <c r="J47" i="20" s="1"/>
  <c r="K47" i="20" s="1"/>
  <c r="L47" i="20" s="1"/>
  <c r="M47" i="20" s="1"/>
  <c r="M46" i="20"/>
  <c r="L46" i="20"/>
  <c r="K46" i="20"/>
  <c r="J46" i="20"/>
  <c r="I46" i="20"/>
  <c r="H46" i="20"/>
  <c r="G46" i="20"/>
  <c r="F46" i="20"/>
  <c r="E46" i="20"/>
  <c r="D46" i="20"/>
  <c r="C46" i="20"/>
  <c r="B46" i="20"/>
  <c r="M45" i="20"/>
  <c r="L45" i="20"/>
  <c r="K45" i="20"/>
  <c r="J45" i="20"/>
  <c r="I45" i="20"/>
  <c r="H45" i="20"/>
  <c r="G45" i="20"/>
  <c r="F45" i="20"/>
  <c r="E45" i="20"/>
  <c r="D45" i="20"/>
  <c r="C45" i="20"/>
  <c r="B45" i="20"/>
  <c r="B44" i="20"/>
  <c r="M43" i="20"/>
  <c r="L43" i="20"/>
  <c r="K43" i="20"/>
  <c r="J43" i="20"/>
  <c r="I43" i="20"/>
  <c r="C43" i="20"/>
  <c r="B40" i="20"/>
  <c r="C40" i="20" s="1"/>
  <c r="D40" i="20" s="1"/>
  <c r="E40" i="20" s="1"/>
  <c r="M39" i="20"/>
  <c r="L39" i="20"/>
  <c r="K39" i="20"/>
  <c r="J39" i="20"/>
  <c r="I39" i="20"/>
  <c r="H39" i="20"/>
  <c r="G39" i="20"/>
  <c r="F39" i="20"/>
  <c r="E39" i="20"/>
  <c r="D39" i="20"/>
  <c r="C39" i="20"/>
  <c r="B39" i="20"/>
  <c r="B41" i="20" s="1"/>
  <c r="B33" i="20"/>
  <c r="M32" i="20"/>
  <c r="I32" i="20"/>
  <c r="J32" i="20" s="1"/>
  <c r="K32" i="20" s="1"/>
  <c r="L32" i="20" s="1"/>
  <c r="E32" i="20"/>
  <c r="F32" i="20" s="1"/>
  <c r="G32" i="20" s="1"/>
  <c r="H32" i="20" s="1"/>
  <c r="D32" i="20"/>
  <c r="C32" i="20"/>
  <c r="B31" i="20"/>
  <c r="I30" i="20"/>
  <c r="J30" i="20" s="1"/>
  <c r="K30" i="20" s="1"/>
  <c r="L30" i="20" s="1"/>
  <c r="M30" i="20" s="1"/>
  <c r="D30" i="20"/>
  <c r="E30" i="20" s="1"/>
  <c r="F30" i="20" s="1"/>
  <c r="G30" i="20" s="1"/>
  <c r="H30" i="20" s="1"/>
  <c r="C30" i="20"/>
  <c r="C29" i="20"/>
  <c r="G25" i="20"/>
  <c r="H25" i="20" s="1"/>
  <c r="I25" i="20" s="1"/>
  <c r="J25" i="20" s="1"/>
  <c r="K25" i="20" s="1"/>
  <c r="L25" i="20" s="1"/>
  <c r="M25" i="20" s="1"/>
  <c r="B25" i="20"/>
  <c r="C25" i="20" s="1"/>
  <c r="D25" i="20" s="1"/>
  <c r="E25" i="20" s="1"/>
  <c r="F25" i="20" s="1"/>
  <c r="M24" i="20"/>
  <c r="L24" i="20"/>
  <c r="K24" i="20"/>
  <c r="J24" i="20"/>
  <c r="I24" i="20"/>
  <c r="H24" i="20"/>
  <c r="G24" i="20"/>
  <c r="F24" i="20"/>
  <c r="E24" i="20"/>
  <c r="D24" i="20"/>
  <c r="C24" i="20"/>
  <c r="B24" i="20"/>
  <c r="M23" i="20"/>
  <c r="L23" i="20"/>
  <c r="K23" i="20"/>
  <c r="J23" i="20"/>
  <c r="I23" i="20"/>
  <c r="H23" i="20"/>
  <c r="G23" i="20"/>
  <c r="F23" i="20"/>
  <c r="E23" i="20"/>
  <c r="D23" i="20"/>
  <c r="C23" i="20"/>
  <c r="B23" i="20"/>
  <c r="B26" i="20" s="1"/>
  <c r="B22" i="20"/>
  <c r="C22" i="20" s="1"/>
  <c r="B19" i="20"/>
  <c r="C19" i="20" s="1"/>
  <c r="B16" i="20"/>
  <c r="C16" i="20" s="1"/>
  <c r="D16" i="20" s="1"/>
  <c r="E16" i="20" s="1"/>
  <c r="F16" i="20" s="1"/>
  <c r="G16" i="20" s="1"/>
  <c r="H16" i="20" s="1"/>
  <c r="I16" i="20" s="1"/>
  <c r="J16" i="20" s="1"/>
  <c r="K16" i="20" s="1"/>
  <c r="L16" i="20" s="1"/>
  <c r="M16" i="20" s="1"/>
  <c r="B15" i="20"/>
  <c r="C15" i="20" s="1"/>
  <c r="D15" i="20" s="1"/>
  <c r="E15" i="20" s="1"/>
  <c r="F15" i="20" s="1"/>
  <c r="G15" i="20" s="1"/>
  <c r="H15" i="20" s="1"/>
  <c r="I15" i="20" s="1"/>
  <c r="J15" i="20" s="1"/>
  <c r="K15" i="20" s="1"/>
  <c r="L15" i="20" s="1"/>
  <c r="M15" i="20" s="1"/>
  <c r="B14" i="20"/>
  <c r="C14" i="20" s="1"/>
  <c r="D14" i="20" s="1"/>
  <c r="E14" i="20" s="1"/>
  <c r="F14" i="20" s="1"/>
  <c r="G14" i="20" s="1"/>
  <c r="H14" i="20" s="1"/>
  <c r="I14" i="20" s="1"/>
  <c r="J14" i="20" s="1"/>
  <c r="K14" i="20" s="1"/>
  <c r="L14" i="20" s="1"/>
  <c r="M14" i="20" s="1"/>
  <c r="M13" i="20"/>
  <c r="L13" i="20"/>
  <c r="K13" i="20"/>
  <c r="J13" i="20"/>
  <c r="I13" i="20"/>
  <c r="H13" i="20"/>
  <c r="G13" i="20"/>
  <c r="F13" i="20"/>
  <c r="E13" i="20"/>
  <c r="D13" i="20"/>
  <c r="C13" i="20"/>
  <c r="B13" i="20"/>
  <c r="M12" i="20"/>
  <c r="L12" i="20"/>
  <c r="K12" i="20"/>
  <c r="F12" i="20"/>
  <c r="G12" i="20" s="1"/>
  <c r="H12" i="20" s="1"/>
  <c r="I12" i="20" s="1"/>
  <c r="J12" i="20" s="1"/>
  <c r="B12" i="20"/>
  <c r="C12" i="20" s="1"/>
  <c r="D12" i="20" s="1"/>
  <c r="E12" i="20" s="1"/>
  <c r="M11" i="20"/>
  <c r="L11" i="20"/>
  <c r="K11" i="20"/>
  <c r="J11" i="20"/>
  <c r="I11" i="20"/>
  <c r="H11" i="20"/>
  <c r="G11" i="20"/>
  <c r="F11" i="20"/>
  <c r="E11" i="20"/>
  <c r="D11" i="20"/>
  <c r="C11" i="20"/>
  <c r="B11" i="20"/>
  <c r="B10" i="20"/>
  <c r="C10" i="20" s="1"/>
  <c r="D10" i="20" s="1"/>
  <c r="E10" i="20" s="1"/>
  <c r="F10" i="20" s="1"/>
  <c r="G10" i="20" s="1"/>
  <c r="H10" i="20" s="1"/>
  <c r="I10" i="20" s="1"/>
  <c r="J10" i="20" s="1"/>
  <c r="K10" i="20" s="1"/>
  <c r="L10" i="20" s="1"/>
  <c r="M10" i="20" s="1"/>
  <c r="M9" i="20"/>
  <c r="L9" i="20"/>
  <c r="K9" i="20"/>
  <c r="J9" i="20"/>
  <c r="I9" i="20"/>
  <c r="H9" i="20"/>
  <c r="G9" i="20"/>
  <c r="F9" i="20"/>
  <c r="E9" i="20"/>
  <c r="D9" i="20"/>
  <c r="C9" i="20"/>
  <c r="B9" i="20"/>
  <c r="B9" i="19"/>
  <c r="C9" i="19"/>
  <c r="D9" i="19"/>
  <c r="E9" i="19"/>
  <c r="F9" i="19"/>
  <c r="G9" i="19"/>
  <c r="H9" i="19"/>
  <c r="I9" i="19"/>
  <c r="J9" i="19"/>
  <c r="K9" i="19"/>
  <c r="L9" i="19"/>
  <c r="M9" i="19"/>
  <c r="C10" i="19"/>
  <c r="D10" i="19" s="1"/>
  <c r="G10" i="19"/>
  <c r="H10" i="19" s="1"/>
  <c r="I10" i="19" s="1"/>
  <c r="J10" i="19" s="1"/>
  <c r="C11" i="19"/>
  <c r="D11" i="19"/>
  <c r="E11" i="19"/>
  <c r="F11" i="19"/>
  <c r="G11" i="19"/>
  <c r="H11" i="19"/>
  <c r="I11" i="19"/>
  <c r="J11" i="19"/>
  <c r="K11" i="19"/>
  <c r="L11" i="19"/>
  <c r="M11" i="19"/>
  <c r="B12" i="19"/>
  <c r="C12" i="19"/>
  <c r="D12" i="19"/>
  <c r="E12" i="19" s="1"/>
  <c r="F12" i="19" s="1"/>
  <c r="G12" i="19"/>
  <c r="H12" i="19"/>
  <c r="I12" i="19"/>
  <c r="J12" i="19"/>
  <c r="K12" i="19"/>
  <c r="L12" i="19"/>
  <c r="M12" i="19"/>
  <c r="B13" i="19"/>
  <c r="B15" i="19"/>
  <c r="B16" i="19" s="1"/>
  <c r="C15" i="19"/>
  <c r="D15" i="19" s="1"/>
  <c r="C16" i="19"/>
  <c r="B18" i="19"/>
  <c r="C18" i="19"/>
  <c r="D18" i="19"/>
  <c r="E18" i="19"/>
  <c r="F18" i="19"/>
  <c r="G18" i="19"/>
  <c r="H18" i="19"/>
  <c r="I18" i="19"/>
  <c r="J18" i="19"/>
  <c r="K18" i="19"/>
  <c r="L18" i="19"/>
  <c r="M18" i="19"/>
  <c r="B19" i="19"/>
  <c r="C19" i="19"/>
  <c r="D19" i="19"/>
  <c r="E19" i="19"/>
  <c r="F19" i="19"/>
  <c r="G19" i="19"/>
  <c r="H19" i="19"/>
  <c r="I19" i="19"/>
  <c r="J19" i="19"/>
  <c r="K19" i="19"/>
  <c r="L19" i="19"/>
  <c r="M19" i="19"/>
  <c r="C26" i="19"/>
  <c r="D26" i="19" s="1"/>
  <c r="M26" i="19"/>
  <c r="B27" i="19"/>
  <c r="C27" i="19"/>
  <c r="M27" i="19"/>
  <c r="C29" i="19"/>
  <c r="C30" i="19"/>
  <c r="D30" i="19"/>
  <c r="E30" i="19"/>
  <c r="F30" i="19"/>
  <c r="G30" i="19"/>
  <c r="H30" i="19"/>
  <c r="I30" i="19"/>
  <c r="J30" i="19"/>
  <c r="K30" i="19"/>
  <c r="L30" i="19"/>
  <c r="M30" i="19"/>
  <c r="B31" i="19"/>
  <c r="C31" i="19"/>
  <c r="D31" i="19"/>
  <c r="E31" i="19"/>
  <c r="F31" i="19"/>
  <c r="G31" i="19"/>
  <c r="H31" i="19"/>
  <c r="I31" i="19"/>
  <c r="J31" i="19"/>
  <c r="K31" i="19"/>
  <c r="L31" i="19"/>
  <c r="M31" i="19"/>
  <c r="B32" i="19"/>
  <c r="B34" i="19" s="1"/>
  <c r="C33" i="19"/>
  <c r="D33" i="19" s="1"/>
  <c r="E33" i="19" s="1"/>
  <c r="F33" i="19" s="1"/>
  <c r="G33" i="19"/>
  <c r="H33" i="19"/>
  <c r="I33" i="19"/>
  <c r="J33" i="19"/>
  <c r="K33" i="19"/>
  <c r="L33" i="19"/>
  <c r="M33" i="19"/>
  <c r="C36" i="19"/>
  <c r="D36" i="19" s="1"/>
  <c r="I36" i="19"/>
  <c r="J36" i="19"/>
  <c r="K36" i="19"/>
  <c r="L36" i="19"/>
  <c r="M36" i="19"/>
  <c r="B37" i="19"/>
  <c r="C37" i="19" s="1"/>
  <c r="D37" i="19" s="1"/>
  <c r="E37" i="19" s="1"/>
  <c r="F37" i="19" s="1"/>
  <c r="G37" i="19" s="1"/>
  <c r="H37" i="19" s="1"/>
  <c r="I37" i="19" s="1"/>
  <c r="C38" i="19"/>
  <c r="D38" i="19" s="1"/>
  <c r="E38" i="19" s="1"/>
  <c r="F38" i="19" s="1"/>
  <c r="M38" i="19"/>
  <c r="B39" i="19"/>
  <c r="C39" i="19"/>
  <c r="D39" i="19"/>
  <c r="E39" i="19"/>
  <c r="F39" i="19"/>
  <c r="G39" i="19"/>
  <c r="H39" i="19"/>
  <c r="I39" i="19"/>
  <c r="J39" i="19"/>
  <c r="K39" i="19"/>
  <c r="L39" i="19"/>
  <c r="M39" i="19"/>
  <c r="B40" i="19"/>
  <c r="C40" i="19"/>
  <c r="M40" i="19"/>
  <c r="C41" i="19"/>
  <c r="D41" i="19" s="1"/>
  <c r="E41" i="19" s="1"/>
  <c r="B42" i="19"/>
  <c r="C42" i="19" s="1"/>
  <c r="F42" i="19"/>
  <c r="G42" i="19"/>
  <c r="H42" i="19"/>
  <c r="I42" i="19" s="1"/>
  <c r="J42" i="19"/>
  <c r="K42" i="19" s="1"/>
  <c r="L42" i="19"/>
  <c r="M42" i="19" s="1"/>
  <c r="B43" i="19"/>
  <c r="C43" i="19" s="1"/>
  <c r="D43" i="19" s="1"/>
  <c r="E43" i="19" s="1"/>
  <c r="F43" i="19" s="1"/>
  <c r="G43" i="19" s="1"/>
  <c r="H43" i="19" s="1"/>
  <c r="I43" i="19" s="1"/>
  <c r="J43" i="19" s="1"/>
  <c r="K43" i="19" s="1"/>
  <c r="L43" i="19" s="1"/>
  <c r="M43" i="19" s="1"/>
  <c r="B44" i="19"/>
  <c r="C44" i="19" s="1"/>
  <c r="D44" i="19" s="1"/>
  <c r="E44" i="19" s="1"/>
  <c r="F44" i="19" s="1"/>
  <c r="G44" i="19" s="1"/>
  <c r="H44" i="19" s="1"/>
  <c r="I44" i="19" s="1"/>
  <c r="J44" i="19" s="1"/>
  <c r="K44" i="19" s="1"/>
  <c r="L44" i="19" s="1"/>
  <c r="M44" i="19" s="1"/>
  <c r="B46" i="19"/>
  <c r="C46" i="19" s="1"/>
  <c r="D46" i="19" s="1"/>
  <c r="E46" i="19" s="1"/>
  <c r="F46" i="19" s="1"/>
  <c r="G46" i="19" s="1"/>
  <c r="H46" i="19" s="1"/>
  <c r="I46" i="19" s="1"/>
  <c r="J46" i="19"/>
  <c r="K46" i="19" s="1"/>
  <c r="L46" i="19" s="1"/>
  <c r="M46" i="19" s="1"/>
  <c r="C50" i="19"/>
  <c r="B51" i="19"/>
  <c r="C52" i="19"/>
  <c r="D52" i="19"/>
  <c r="E52" i="19"/>
  <c r="F52" i="19"/>
  <c r="G52" i="19" s="1"/>
  <c r="H52" i="19" s="1"/>
  <c r="I52" i="19" s="1"/>
  <c r="J52" i="19" s="1"/>
  <c r="K52" i="19" s="1"/>
  <c r="L52" i="19" s="1"/>
  <c r="M52" i="19" s="1"/>
  <c r="C57" i="19"/>
  <c r="D57" i="19" s="1"/>
  <c r="E57" i="19" s="1"/>
  <c r="F57" i="19" s="1"/>
  <c r="G57" i="19"/>
  <c r="H57" i="19" s="1"/>
  <c r="I57" i="19" s="1"/>
  <c r="J57" i="19" s="1"/>
  <c r="K57" i="19" s="1"/>
  <c r="L57" i="19" s="1"/>
  <c r="M57" i="19" s="1"/>
  <c r="C58" i="19"/>
  <c r="D58" i="19" s="1"/>
  <c r="E58" i="19" s="1"/>
  <c r="F58" i="19" s="1"/>
  <c r="G58" i="19" s="1"/>
  <c r="H58" i="19" s="1"/>
  <c r="I58" i="19" s="1"/>
  <c r="J58" i="19" s="1"/>
  <c r="C59" i="19"/>
  <c r="D59" i="19" s="1"/>
  <c r="E59" i="19"/>
  <c r="F59" i="19" s="1"/>
  <c r="G59" i="19" s="1"/>
  <c r="B60" i="19"/>
  <c r="M60" i="19"/>
  <c r="B61" i="19"/>
  <c r="C61" i="19"/>
  <c r="D61" i="19"/>
  <c r="E61" i="19" s="1"/>
  <c r="F61" i="19" s="1"/>
  <c r="G61" i="19" s="1"/>
  <c r="H61" i="19" s="1"/>
  <c r="I61" i="19" s="1"/>
  <c r="J61" i="19" s="1"/>
  <c r="K61" i="19" s="1"/>
  <c r="L61" i="19" s="1"/>
  <c r="M61" i="19"/>
  <c r="C63" i="19"/>
  <c r="D63" i="19" s="1"/>
  <c r="E63" i="19" s="1"/>
  <c r="B64" i="19"/>
  <c r="C64" i="19" s="1"/>
  <c r="E64" i="19"/>
  <c r="F64" i="19"/>
  <c r="G64" i="19" s="1"/>
  <c r="H64" i="19" s="1"/>
  <c r="I64" i="19" s="1"/>
  <c r="J64" i="19" s="1"/>
  <c r="K64" i="19" s="1"/>
  <c r="L64" i="19" s="1"/>
  <c r="M64" i="19"/>
  <c r="B65" i="19"/>
  <c r="B67" i="19"/>
  <c r="C67" i="19" s="1"/>
  <c r="D67" i="19" s="1"/>
  <c r="E67" i="19" s="1"/>
  <c r="F67" i="19" s="1"/>
  <c r="G67" i="19" s="1"/>
  <c r="H67" i="19" s="1"/>
  <c r="I67" i="19" s="1"/>
  <c r="J67" i="19" s="1"/>
  <c r="K67" i="19" s="1"/>
  <c r="L67" i="19" s="1"/>
  <c r="M67" i="19"/>
  <c r="B68" i="19"/>
  <c r="C68" i="19"/>
  <c r="D68" i="19"/>
  <c r="E68" i="19"/>
  <c r="F68" i="19"/>
  <c r="G68" i="19"/>
  <c r="H68" i="19"/>
  <c r="I68" i="19"/>
  <c r="J68" i="19"/>
  <c r="K68" i="19"/>
  <c r="L68" i="19"/>
  <c r="M68" i="19"/>
  <c r="M83" i="18"/>
  <c r="L83" i="18"/>
  <c r="K83" i="18"/>
  <c r="J83" i="18"/>
  <c r="I83" i="18"/>
  <c r="H83" i="18"/>
  <c r="G83" i="18"/>
  <c r="F83" i="18"/>
  <c r="E83" i="18"/>
  <c r="D83" i="18"/>
  <c r="C83" i="18"/>
  <c r="B83" i="18"/>
  <c r="H82" i="18"/>
  <c r="I82" i="18" s="1"/>
  <c r="J82" i="18" s="1"/>
  <c r="K82" i="18" s="1"/>
  <c r="L82" i="18" s="1"/>
  <c r="M82" i="18" s="1"/>
  <c r="C82" i="18"/>
  <c r="D82" i="18" s="1"/>
  <c r="E82" i="18" s="1"/>
  <c r="F82" i="18" s="1"/>
  <c r="G82" i="18" s="1"/>
  <c r="F81" i="18"/>
  <c r="G81" i="18" s="1"/>
  <c r="H81" i="18" s="1"/>
  <c r="I81" i="18" s="1"/>
  <c r="J81" i="18" s="1"/>
  <c r="K81" i="18" s="1"/>
  <c r="L81" i="18" s="1"/>
  <c r="M81" i="18" s="1"/>
  <c r="C81" i="18"/>
  <c r="D81" i="18" s="1"/>
  <c r="E81" i="18" s="1"/>
  <c r="B80" i="18"/>
  <c r="C80" i="18" s="1"/>
  <c r="D80" i="18" s="1"/>
  <c r="E80" i="18" s="1"/>
  <c r="F80" i="18" s="1"/>
  <c r="G80" i="18" s="1"/>
  <c r="H80" i="18" s="1"/>
  <c r="I80" i="18" s="1"/>
  <c r="J80" i="18" s="1"/>
  <c r="K80" i="18" s="1"/>
  <c r="L80" i="18" s="1"/>
  <c r="M80" i="18" s="1"/>
  <c r="B77" i="18"/>
  <c r="C77" i="18" s="1"/>
  <c r="D77" i="18" s="1"/>
  <c r="E77" i="18" s="1"/>
  <c r="F77" i="18" s="1"/>
  <c r="G77" i="18" s="1"/>
  <c r="H77" i="18" s="1"/>
  <c r="I77" i="18" s="1"/>
  <c r="J77" i="18" s="1"/>
  <c r="K77" i="18" s="1"/>
  <c r="L77" i="18" s="1"/>
  <c r="M77" i="18" s="1"/>
  <c r="C76" i="18"/>
  <c r="J74" i="18"/>
  <c r="K74" i="18" s="1"/>
  <c r="L74" i="18" s="1"/>
  <c r="M74" i="18" s="1"/>
  <c r="C74" i="18"/>
  <c r="D74" i="18" s="1"/>
  <c r="E74" i="18" s="1"/>
  <c r="F74" i="18" s="1"/>
  <c r="G74" i="18" s="1"/>
  <c r="H74" i="18" s="1"/>
  <c r="I74" i="18" s="1"/>
  <c r="B74" i="18"/>
  <c r="B73" i="18"/>
  <c r="C72" i="18"/>
  <c r="C71" i="18"/>
  <c r="B70" i="18"/>
  <c r="C70" i="18" s="1"/>
  <c r="M65" i="18"/>
  <c r="I65" i="18"/>
  <c r="J65" i="18" s="1"/>
  <c r="K65" i="18" s="1"/>
  <c r="L65" i="18" s="1"/>
  <c r="G65" i="18"/>
  <c r="H65" i="18" s="1"/>
  <c r="F65" i="18"/>
  <c r="E65" i="18"/>
  <c r="D65" i="18"/>
  <c r="C65" i="18"/>
  <c r="H63" i="18"/>
  <c r="I63" i="18" s="1"/>
  <c r="J63" i="18" s="1"/>
  <c r="K63" i="18" s="1"/>
  <c r="L63" i="18" s="1"/>
  <c r="M63" i="18" s="1"/>
  <c r="B63" i="18"/>
  <c r="C63" i="18" s="1"/>
  <c r="D63" i="18" s="1"/>
  <c r="E63" i="18" s="1"/>
  <c r="F63" i="18" s="1"/>
  <c r="G63" i="18" s="1"/>
  <c r="H62" i="18"/>
  <c r="B62" i="18"/>
  <c r="C62" i="18" s="1"/>
  <c r="F60" i="18"/>
  <c r="G60" i="18" s="1"/>
  <c r="H60" i="18" s="1"/>
  <c r="I60" i="18" s="1"/>
  <c r="J60" i="18" s="1"/>
  <c r="K60" i="18" s="1"/>
  <c r="L60" i="18" s="1"/>
  <c r="M60" i="18" s="1"/>
  <c r="B60" i="18"/>
  <c r="C60" i="18" s="1"/>
  <c r="D60" i="18" s="1"/>
  <c r="E60" i="18" s="1"/>
  <c r="F59" i="18"/>
  <c r="G59" i="18" s="1"/>
  <c r="H59" i="18" s="1"/>
  <c r="I59" i="18" s="1"/>
  <c r="B59" i="18"/>
  <c r="C59" i="18" s="1"/>
  <c r="D59" i="18" s="1"/>
  <c r="E59" i="18" s="1"/>
  <c r="C58" i="18"/>
  <c r="D58" i="18" s="1"/>
  <c r="L54" i="18"/>
  <c r="M54" i="18" s="1"/>
  <c r="K54" i="18"/>
  <c r="J54" i="18"/>
  <c r="I54" i="18"/>
  <c r="H54" i="18"/>
  <c r="G54" i="18"/>
  <c r="F54" i="18"/>
  <c r="E54" i="18"/>
  <c r="D54" i="18"/>
  <c r="C54" i="18"/>
  <c r="B54" i="18"/>
  <c r="M52" i="18"/>
  <c r="C52" i="18"/>
  <c r="D52" i="18" s="1"/>
  <c r="E52" i="18" s="1"/>
  <c r="F52" i="18" s="1"/>
  <c r="G52" i="18" s="1"/>
  <c r="H52" i="18" s="1"/>
  <c r="I52" i="18" s="1"/>
  <c r="J52" i="18" s="1"/>
  <c r="K52" i="18" s="1"/>
  <c r="L52" i="18" s="1"/>
  <c r="B52" i="18"/>
  <c r="M51" i="18"/>
  <c r="B51" i="18"/>
  <c r="C51" i="18" s="1"/>
  <c r="D51" i="18" s="1"/>
  <c r="E51" i="18" s="1"/>
  <c r="F51" i="18" s="1"/>
  <c r="G51" i="18" s="1"/>
  <c r="H51" i="18" s="1"/>
  <c r="I51" i="18" s="1"/>
  <c r="J51" i="18" s="1"/>
  <c r="K51" i="18" s="1"/>
  <c r="L51" i="18" s="1"/>
  <c r="M50" i="18"/>
  <c r="G50" i="18"/>
  <c r="H50" i="18" s="1"/>
  <c r="I50" i="18" s="1"/>
  <c r="J50" i="18" s="1"/>
  <c r="K50" i="18" s="1"/>
  <c r="L50" i="18" s="1"/>
  <c r="C50" i="18"/>
  <c r="D50" i="18" s="1"/>
  <c r="E50" i="18" s="1"/>
  <c r="F50" i="18" s="1"/>
  <c r="B50" i="18"/>
  <c r="B53" i="18" s="1"/>
  <c r="C49" i="18"/>
  <c r="D49" i="18" s="1"/>
  <c r="M48" i="18"/>
  <c r="L48" i="18"/>
  <c r="K48" i="18"/>
  <c r="J48" i="18"/>
  <c r="I48" i="18"/>
  <c r="H48" i="18"/>
  <c r="G48" i="18"/>
  <c r="F48" i="18"/>
  <c r="E48" i="18"/>
  <c r="D48" i="18"/>
  <c r="C48" i="18"/>
  <c r="B48" i="18"/>
  <c r="G46" i="18"/>
  <c r="H46" i="18" s="1"/>
  <c r="I46" i="18" s="1"/>
  <c r="J46" i="18" s="1"/>
  <c r="K46" i="18" s="1"/>
  <c r="L46" i="18" s="1"/>
  <c r="M46" i="18" s="1"/>
  <c r="F46" i="18"/>
  <c r="E46" i="18"/>
  <c r="D46" i="18"/>
  <c r="C46" i="18"/>
  <c r="B46" i="18"/>
  <c r="E45" i="18"/>
  <c r="F45" i="18" s="1"/>
  <c r="D45" i="18"/>
  <c r="D47" i="18" s="1"/>
  <c r="C45" i="18"/>
  <c r="C47" i="18" s="1"/>
  <c r="B45" i="18"/>
  <c r="B47" i="18" s="1"/>
  <c r="B44" i="18"/>
  <c r="C44" i="18" s="1"/>
  <c r="D44" i="18" s="1"/>
  <c r="E44" i="18" s="1"/>
  <c r="F44" i="18" s="1"/>
  <c r="G44" i="18" s="1"/>
  <c r="L43" i="18"/>
  <c r="M43" i="18" s="1"/>
  <c r="K43" i="18"/>
  <c r="J43" i="18"/>
  <c r="I43" i="18"/>
  <c r="D43" i="18"/>
  <c r="E43" i="18" s="1"/>
  <c r="F43" i="18" s="1"/>
  <c r="G43" i="18" s="1"/>
  <c r="H43" i="18" s="1"/>
  <c r="C43" i="18"/>
  <c r="M42" i="18"/>
  <c r="L42" i="18"/>
  <c r="K42" i="18"/>
  <c r="J42" i="18"/>
  <c r="I42" i="18"/>
  <c r="H42" i="18"/>
  <c r="G42" i="18"/>
  <c r="F42" i="18"/>
  <c r="E42" i="18"/>
  <c r="D42" i="18"/>
  <c r="C42" i="18"/>
  <c r="B42" i="18"/>
  <c r="J41" i="18"/>
  <c r="K41" i="18" s="1"/>
  <c r="I41" i="18"/>
  <c r="H41" i="18"/>
  <c r="G41" i="18"/>
  <c r="F41" i="18"/>
  <c r="E41" i="18"/>
  <c r="D41" i="18"/>
  <c r="C41" i="18"/>
  <c r="B41" i="18"/>
  <c r="E38" i="18"/>
  <c r="F38" i="18" s="1"/>
  <c r="G38" i="18" s="1"/>
  <c r="H38" i="18" s="1"/>
  <c r="I38" i="18" s="1"/>
  <c r="J38" i="18" s="1"/>
  <c r="K38" i="18" s="1"/>
  <c r="L38" i="18" s="1"/>
  <c r="M38" i="18" s="1"/>
  <c r="D38" i="18"/>
  <c r="C38" i="18"/>
  <c r="B38" i="18"/>
  <c r="B37" i="18"/>
  <c r="M36" i="18"/>
  <c r="L36" i="18"/>
  <c r="K36" i="18"/>
  <c r="J36" i="18"/>
  <c r="I36" i="18"/>
  <c r="H36" i="18"/>
  <c r="G36" i="18"/>
  <c r="F36" i="18"/>
  <c r="E36" i="18"/>
  <c r="D36" i="18"/>
  <c r="C36" i="18"/>
  <c r="C35" i="18"/>
  <c r="D35" i="18" s="1"/>
  <c r="M33" i="18"/>
  <c r="L33" i="18"/>
  <c r="K33" i="18"/>
  <c r="J33" i="18"/>
  <c r="I33" i="18"/>
  <c r="H33" i="18"/>
  <c r="G33" i="18"/>
  <c r="F33" i="18"/>
  <c r="E33" i="18"/>
  <c r="D33" i="18"/>
  <c r="C33" i="18"/>
  <c r="B33" i="18"/>
  <c r="M32" i="18"/>
  <c r="L32" i="18"/>
  <c r="K32" i="18"/>
  <c r="J32" i="18"/>
  <c r="I32" i="18"/>
  <c r="H32" i="18"/>
  <c r="G32" i="18"/>
  <c r="F32" i="18"/>
  <c r="E32" i="18"/>
  <c r="D32" i="18"/>
  <c r="C32" i="18"/>
  <c r="B32" i="18"/>
  <c r="B34" i="18" s="1"/>
  <c r="B39" i="18" s="1"/>
  <c r="G31" i="18"/>
  <c r="H31" i="18" s="1"/>
  <c r="H34" i="18" s="1"/>
  <c r="F31" i="18"/>
  <c r="F34" i="18" s="1"/>
  <c r="E31" i="18"/>
  <c r="C31" i="18"/>
  <c r="D31" i="18" s="1"/>
  <c r="M28" i="18"/>
  <c r="M29" i="18" s="1"/>
  <c r="L28" i="18"/>
  <c r="L29" i="18" s="1"/>
  <c r="I28" i="18"/>
  <c r="J28" i="18" s="1"/>
  <c r="H28" i="18"/>
  <c r="H29" i="18" s="1"/>
  <c r="E28" i="18"/>
  <c r="F28" i="18" s="1"/>
  <c r="D28" i="18"/>
  <c r="D29" i="18" s="1"/>
  <c r="C28" i="18"/>
  <c r="C29" i="18" s="1"/>
  <c r="B28" i="18"/>
  <c r="B29" i="18" s="1"/>
  <c r="H21" i="18"/>
  <c r="M20" i="18"/>
  <c r="M21" i="18" s="1"/>
  <c r="L20" i="18"/>
  <c r="L21" i="18" s="1"/>
  <c r="K20" i="18"/>
  <c r="K21" i="18" s="1"/>
  <c r="J20" i="18"/>
  <c r="J21" i="18" s="1"/>
  <c r="I20" i="18"/>
  <c r="I21" i="18" s="1"/>
  <c r="H20" i="18"/>
  <c r="G20" i="18"/>
  <c r="G21" i="18" s="1"/>
  <c r="F20" i="18"/>
  <c r="F21" i="18" s="1"/>
  <c r="E20" i="18"/>
  <c r="E21" i="18" s="1"/>
  <c r="D20" i="18"/>
  <c r="D21" i="18" s="1"/>
  <c r="C20" i="18"/>
  <c r="C21" i="18" s="1"/>
  <c r="B20" i="18"/>
  <c r="B21" i="18" s="1"/>
  <c r="B17" i="18"/>
  <c r="B18" i="18" s="1"/>
  <c r="H14" i="18"/>
  <c r="I14" i="18" s="1"/>
  <c r="J14" i="18" s="1"/>
  <c r="K14" i="18" s="1"/>
  <c r="L14" i="18" s="1"/>
  <c r="M14" i="18" s="1"/>
  <c r="G14" i="18"/>
  <c r="F14" i="18"/>
  <c r="E14" i="18"/>
  <c r="D14" i="18"/>
  <c r="C14" i="18"/>
  <c r="B14" i="18"/>
  <c r="H13" i="18"/>
  <c r="I13" i="18" s="1"/>
  <c r="J13" i="18" s="1"/>
  <c r="K13" i="18" s="1"/>
  <c r="L13" i="18" s="1"/>
  <c r="M13" i="18" s="1"/>
  <c r="G13" i="18"/>
  <c r="F13" i="18"/>
  <c r="E13" i="18"/>
  <c r="D13" i="18"/>
  <c r="C13" i="18"/>
  <c r="B13" i="18"/>
  <c r="F12" i="18"/>
  <c r="G12" i="18" s="1"/>
  <c r="H12" i="18" s="1"/>
  <c r="I12" i="18" s="1"/>
  <c r="J12" i="18" s="1"/>
  <c r="K12" i="18" s="1"/>
  <c r="L12" i="18" s="1"/>
  <c r="M12" i="18" s="1"/>
  <c r="B12" i="18"/>
  <c r="C12" i="18" s="1"/>
  <c r="D12" i="18" s="1"/>
  <c r="E12" i="18" s="1"/>
  <c r="M11" i="18"/>
  <c r="J11" i="18"/>
  <c r="K11" i="18" s="1"/>
  <c r="L11" i="18" s="1"/>
  <c r="I11" i="18"/>
  <c r="H11" i="18"/>
  <c r="G11" i="18"/>
  <c r="F11" i="18"/>
  <c r="E11" i="18"/>
  <c r="C11" i="18"/>
  <c r="D11" i="18" s="1"/>
  <c r="M10" i="18"/>
  <c r="L10" i="18"/>
  <c r="K10" i="18"/>
  <c r="J10" i="18"/>
  <c r="I10" i="18"/>
  <c r="H10" i="18"/>
  <c r="G10" i="18"/>
  <c r="F10" i="18"/>
  <c r="E10" i="18"/>
  <c r="D10" i="18"/>
  <c r="C10" i="18"/>
  <c r="D9" i="18"/>
  <c r="E9" i="18" s="1"/>
  <c r="F9" i="18" s="1"/>
  <c r="C9" i="18"/>
  <c r="B9" i="18"/>
  <c r="M94" i="17"/>
  <c r="L94" i="17"/>
  <c r="K94" i="17"/>
  <c r="J94" i="17"/>
  <c r="I94" i="17"/>
  <c r="H94" i="17"/>
  <c r="G94" i="17"/>
  <c r="F94" i="17"/>
  <c r="E94" i="17"/>
  <c r="D94" i="17"/>
  <c r="C94" i="17"/>
  <c r="B94" i="17"/>
  <c r="M93" i="17"/>
  <c r="L93" i="17"/>
  <c r="K93" i="17"/>
  <c r="J93" i="17"/>
  <c r="I93" i="17"/>
  <c r="H93" i="17"/>
  <c r="G93" i="17"/>
  <c r="C93" i="17"/>
  <c r="D93" i="17" s="1"/>
  <c r="E93" i="17" s="1"/>
  <c r="F93" i="17" s="1"/>
  <c r="G92" i="17"/>
  <c r="H92" i="17" s="1"/>
  <c r="I92" i="17" s="1"/>
  <c r="J92" i="17" s="1"/>
  <c r="K92" i="17" s="1"/>
  <c r="L92" i="17" s="1"/>
  <c r="M92" i="17" s="1"/>
  <c r="C92" i="17"/>
  <c r="D92" i="17" s="1"/>
  <c r="E92" i="17" s="1"/>
  <c r="F92" i="17" s="1"/>
  <c r="B91" i="17"/>
  <c r="C91" i="17" s="1"/>
  <c r="D91" i="17" s="1"/>
  <c r="E91" i="17" s="1"/>
  <c r="F91" i="17" s="1"/>
  <c r="G91" i="17" s="1"/>
  <c r="H91" i="17" s="1"/>
  <c r="I91" i="17" s="1"/>
  <c r="J91" i="17" s="1"/>
  <c r="K91" i="17" s="1"/>
  <c r="L91" i="17" s="1"/>
  <c r="M91" i="17" s="1"/>
  <c r="B90" i="17"/>
  <c r="C90" i="17" s="1"/>
  <c r="D90" i="17" s="1"/>
  <c r="E90" i="17" s="1"/>
  <c r="F90" i="17" s="1"/>
  <c r="G90" i="17" s="1"/>
  <c r="H90" i="17" s="1"/>
  <c r="I90" i="17" s="1"/>
  <c r="J90" i="17" s="1"/>
  <c r="K90" i="17" s="1"/>
  <c r="L90" i="17" s="1"/>
  <c r="M90" i="17" s="1"/>
  <c r="B89" i="17"/>
  <c r="C89" i="17" s="1"/>
  <c r="D89" i="17" s="1"/>
  <c r="E89" i="17" s="1"/>
  <c r="F89" i="17" s="1"/>
  <c r="G89" i="17" s="1"/>
  <c r="H89" i="17" s="1"/>
  <c r="I89" i="17" s="1"/>
  <c r="J89" i="17" s="1"/>
  <c r="K89" i="17" s="1"/>
  <c r="L89" i="17" s="1"/>
  <c r="M89" i="17" s="1"/>
  <c r="B86" i="17"/>
  <c r="C86" i="17" s="1"/>
  <c r="D86" i="17" s="1"/>
  <c r="C85" i="17"/>
  <c r="D85" i="17" s="1"/>
  <c r="E85" i="17" s="1"/>
  <c r="B83" i="17"/>
  <c r="C83" i="17" s="1"/>
  <c r="D83" i="17" s="1"/>
  <c r="E83" i="17" s="1"/>
  <c r="F83" i="17" s="1"/>
  <c r="G83" i="17" s="1"/>
  <c r="H83" i="17" s="1"/>
  <c r="I83" i="17" s="1"/>
  <c r="J83" i="17" s="1"/>
  <c r="K83" i="17" s="1"/>
  <c r="L83" i="17" s="1"/>
  <c r="M83" i="17" s="1"/>
  <c r="C82" i="17"/>
  <c r="D82" i="17" s="1"/>
  <c r="E82" i="17" s="1"/>
  <c r="F82" i="17" s="1"/>
  <c r="G82" i="17" s="1"/>
  <c r="H82" i="17" s="1"/>
  <c r="I82" i="17" s="1"/>
  <c r="J82" i="17" s="1"/>
  <c r="K82" i="17" s="1"/>
  <c r="L82" i="17" s="1"/>
  <c r="M82" i="17" s="1"/>
  <c r="B82" i="17"/>
  <c r="C81" i="17"/>
  <c r="D81" i="17" s="1"/>
  <c r="C80" i="17"/>
  <c r="D80" i="17" s="1"/>
  <c r="B79" i="17"/>
  <c r="C79" i="17" s="1"/>
  <c r="G73" i="17"/>
  <c r="H73" i="17" s="1"/>
  <c r="I73" i="17" s="1"/>
  <c r="J73" i="17" s="1"/>
  <c r="K73" i="17" s="1"/>
  <c r="L73" i="17" s="1"/>
  <c r="M73" i="17" s="1"/>
  <c r="C73" i="17"/>
  <c r="D73" i="17" s="1"/>
  <c r="E73" i="17" s="1"/>
  <c r="F73" i="17" s="1"/>
  <c r="B73" i="17"/>
  <c r="G72" i="17"/>
  <c r="B72" i="17"/>
  <c r="B70" i="17"/>
  <c r="C70" i="17" s="1"/>
  <c r="B69" i="17"/>
  <c r="B67" i="17"/>
  <c r="C67" i="17" s="1"/>
  <c r="D67" i="17" s="1"/>
  <c r="E67" i="17" s="1"/>
  <c r="F67" i="17" s="1"/>
  <c r="G67" i="17" s="1"/>
  <c r="H67" i="17" s="1"/>
  <c r="I67" i="17" s="1"/>
  <c r="J67" i="17" s="1"/>
  <c r="K67" i="17" s="1"/>
  <c r="L67" i="17" s="1"/>
  <c r="M67" i="17" s="1"/>
  <c r="B66" i="17"/>
  <c r="C65" i="17"/>
  <c r="D65" i="17" s="1"/>
  <c r="B61" i="17"/>
  <c r="C61" i="17" s="1"/>
  <c r="D61" i="17" s="1"/>
  <c r="E61" i="17" s="1"/>
  <c r="F61" i="17" s="1"/>
  <c r="G61" i="17" s="1"/>
  <c r="H61" i="17" s="1"/>
  <c r="I61" i="17" s="1"/>
  <c r="J61" i="17" s="1"/>
  <c r="K61" i="17" s="1"/>
  <c r="L61" i="17" s="1"/>
  <c r="M61" i="17" s="1"/>
  <c r="C59" i="17"/>
  <c r="D59" i="17" s="1"/>
  <c r="E59" i="17" s="1"/>
  <c r="F59" i="17" s="1"/>
  <c r="G59" i="17" s="1"/>
  <c r="H59" i="17" s="1"/>
  <c r="I59" i="17" s="1"/>
  <c r="J59" i="17" s="1"/>
  <c r="K59" i="17" s="1"/>
  <c r="L59" i="17" s="1"/>
  <c r="M59" i="17" s="1"/>
  <c r="B59" i="17"/>
  <c r="B58" i="17"/>
  <c r="C58" i="17" s="1"/>
  <c r="D58" i="17" s="1"/>
  <c r="E58" i="17" s="1"/>
  <c r="F58" i="17" s="1"/>
  <c r="G58" i="17" s="1"/>
  <c r="H58" i="17" s="1"/>
  <c r="I58" i="17" s="1"/>
  <c r="J58" i="17" s="1"/>
  <c r="K58" i="17" s="1"/>
  <c r="L58" i="17" s="1"/>
  <c r="M58" i="17" s="1"/>
  <c r="B57" i="17"/>
  <c r="C57" i="17" s="1"/>
  <c r="C56" i="17"/>
  <c r="D56" i="17" s="1"/>
  <c r="E56" i="17" s="1"/>
  <c r="M55" i="17"/>
  <c r="L55" i="17"/>
  <c r="K55" i="17"/>
  <c r="J55" i="17"/>
  <c r="I55" i="17"/>
  <c r="H55" i="17"/>
  <c r="G55" i="17"/>
  <c r="F55" i="17"/>
  <c r="E55" i="17"/>
  <c r="D55" i="17"/>
  <c r="C55" i="17"/>
  <c r="B55" i="17"/>
  <c r="B53" i="17"/>
  <c r="C53" i="17" s="1"/>
  <c r="D53" i="17" s="1"/>
  <c r="E53" i="17" s="1"/>
  <c r="F53" i="17" s="1"/>
  <c r="G53" i="17" s="1"/>
  <c r="H53" i="17" s="1"/>
  <c r="I53" i="17" s="1"/>
  <c r="J53" i="17" s="1"/>
  <c r="K53" i="17" s="1"/>
  <c r="L53" i="17" s="1"/>
  <c r="M53" i="17" s="1"/>
  <c r="B52" i="17"/>
  <c r="C52" i="17" s="1"/>
  <c r="B51" i="17"/>
  <c r="C51" i="17" s="1"/>
  <c r="D51" i="17" s="1"/>
  <c r="E51" i="17" s="1"/>
  <c r="F51" i="17" s="1"/>
  <c r="G51" i="17" s="1"/>
  <c r="H51" i="17" s="1"/>
  <c r="I51" i="17" s="1"/>
  <c r="J51" i="17" s="1"/>
  <c r="K51" i="17" s="1"/>
  <c r="L51" i="17" s="1"/>
  <c r="M51" i="17" s="1"/>
  <c r="L50" i="17"/>
  <c r="M50" i="17" s="1"/>
  <c r="K50" i="17"/>
  <c r="B50" i="17"/>
  <c r="C50" i="17" s="1"/>
  <c r="D50" i="17" s="1"/>
  <c r="E50" i="17" s="1"/>
  <c r="F50" i="17" s="1"/>
  <c r="G50" i="17" s="1"/>
  <c r="H50" i="17" s="1"/>
  <c r="I50" i="17" s="1"/>
  <c r="J50" i="17" s="1"/>
  <c r="M49" i="17"/>
  <c r="L49" i="17"/>
  <c r="K49" i="17"/>
  <c r="J49" i="17"/>
  <c r="I49" i="17"/>
  <c r="H49" i="17"/>
  <c r="G49" i="17"/>
  <c r="F49" i="17"/>
  <c r="E49" i="17"/>
  <c r="D49" i="17"/>
  <c r="C49" i="17"/>
  <c r="B49" i="17"/>
  <c r="H48" i="17"/>
  <c r="I48" i="17" s="1"/>
  <c r="J48" i="17" s="1"/>
  <c r="K48" i="17" s="1"/>
  <c r="L48" i="17" s="1"/>
  <c r="M48" i="17" s="1"/>
  <c r="G48" i="17"/>
  <c r="C48" i="17"/>
  <c r="D48" i="17" s="1"/>
  <c r="E48" i="17" s="1"/>
  <c r="F48" i="17" s="1"/>
  <c r="B48" i="17"/>
  <c r="B47" i="17"/>
  <c r="B44" i="17"/>
  <c r="C44" i="17" s="1"/>
  <c r="D44" i="17" s="1"/>
  <c r="E44" i="17" s="1"/>
  <c r="F44" i="17" s="1"/>
  <c r="G44" i="17" s="1"/>
  <c r="H44" i="17" s="1"/>
  <c r="I44" i="17" s="1"/>
  <c r="J44" i="17" s="1"/>
  <c r="K44" i="17" s="1"/>
  <c r="L44" i="17" s="1"/>
  <c r="M44" i="17" s="1"/>
  <c r="L42" i="17"/>
  <c r="M42" i="17" s="1"/>
  <c r="K42" i="17"/>
  <c r="J42" i="17"/>
  <c r="I42" i="17"/>
  <c r="H42" i="17"/>
  <c r="G42" i="17"/>
  <c r="F42" i="17"/>
  <c r="E42" i="17"/>
  <c r="D42" i="17"/>
  <c r="C42" i="17"/>
  <c r="B42" i="17"/>
  <c r="B43" i="17" s="1"/>
  <c r="C41" i="17"/>
  <c r="D41" i="17" s="1"/>
  <c r="M39" i="17"/>
  <c r="L39" i="17"/>
  <c r="K39" i="17"/>
  <c r="J39" i="17"/>
  <c r="I39" i="17"/>
  <c r="H39" i="17"/>
  <c r="G39" i="17"/>
  <c r="F39" i="17"/>
  <c r="E39" i="17"/>
  <c r="D39" i="17"/>
  <c r="C39" i="17"/>
  <c r="E38" i="17"/>
  <c r="F38" i="17" s="1"/>
  <c r="G38" i="17" s="1"/>
  <c r="H38" i="17" s="1"/>
  <c r="I38" i="17" s="1"/>
  <c r="J38" i="17" s="1"/>
  <c r="K38" i="17" s="1"/>
  <c r="L38" i="17" s="1"/>
  <c r="M38" i="17" s="1"/>
  <c r="D38" i="17"/>
  <c r="C38" i="17"/>
  <c r="B38" i="17"/>
  <c r="C37" i="17"/>
  <c r="D37" i="17" s="1"/>
  <c r="E37" i="17" s="1"/>
  <c r="F37" i="17" s="1"/>
  <c r="G37" i="17" s="1"/>
  <c r="H37" i="17" s="1"/>
  <c r="I37" i="17" s="1"/>
  <c r="J37" i="17" s="1"/>
  <c r="K37" i="17" s="1"/>
  <c r="L37" i="17" s="1"/>
  <c r="M37" i="17" s="1"/>
  <c r="B37" i="17"/>
  <c r="M36" i="17"/>
  <c r="L36" i="17"/>
  <c r="K36" i="17"/>
  <c r="J36" i="17"/>
  <c r="I36" i="17"/>
  <c r="H36" i="17"/>
  <c r="G36" i="17"/>
  <c r="F36" i="17"/>
  <c r="E36" i="17"/>
  <c r="D36" i="17"/>
  <c r="C36" i="17"/>
  <c r="B35" i="17"/>
  <c r="B32" i="17"/>
  <c r="M31" i="17"/>
  <c r="L31" i="17"/>
  <c r="K31" i="17"/>
  <c r="J31" i="17"/>
  <c r="I31" i="17"/>
  <c r="H31" i="17"/>
  <c r="C31" i="17"/>
  <c r="D31" i="17" s="1"/>
  <c r="E31" i="17" s="1"/>
  <c r="G23" i="17"/>
  <c r="H23" i="17" s="1"/>
  <c r="I23" i="17" s="1"/>
  <c r="C23" i="17"/>
  <c r="D23" i="17" s="1"/>
  <c r="E23" i="17" s="1"/>
  <c r="M22" i="17"/>
  <c r="L22" i="17"/>
  <c r="K22" i="17"/>
  <c r="J22" i="17"/>
  <c r="I22" i="17"/>
  <c r="H22" i="17"/>
  <c r="G22" i="17"/>
  <c r="F22" i="17"/>
  <c r="E22" i="17"/>
  <c r="D22" i="17"/>
  <c r="C22" i="17"/>
  <c r="M21" i="17"/>
  <c r="L21" i="17"/>
  <c r="K21" i="17"/>
  <c r="J21" i="17"/>
  <c r="I21" i="17"/>
  <c r="H21" i="17"/>
  <c r="G21" i="17"/>
  <c r="F21" i="17"/>
  <c r="E21" i="17"/>
  <c r="D21" i="17"/>
  <c r="C21" i="17"/>
  <c r="B21" i="17"/>
  <c r="B24" i="17" s="1"/>
  <c r="C18" i="17"/>
  <c r="B18" i="17"/>
  <c r="B19" i="17" s="1"/>
  <c r="B15" i="17"/>
  <c r="C15" i="17" s="1"/>
  <c r="D15" i="17" s="1"/>
  <c r="E15" i="17" s="1"/>
  <c r="F15" i="17" s="1"/>
  <c r="G15" i="17" s="1"/>
  <c r="H15" i="17" s="1"/>
  <c r="I15" i="17" s="1"/>
  <c r="J15" i="17" s="1"/>
  <c r="K15" i="17" s="1"/>
  <c r="L15" i="17" s="1"/>
  <c r="M15" i="17" s="1"/>
  <c r="B14" i="17"/>
  <c r="C14" i="17" s="1"/>
  <c r="D14" i="17" s="1"/>
  <c r="E14" i="17" s="1"/>
  <c r="F14" i="17" s="1"/>
  <c r="G14" i="17" s="1"/>
  <c r="H14" i="17" s="1"/>
  <c r="I14" i="17" s="1"/>
  <c r="J14" i="17" s="1"/>
  <c r="K14" i="17" s="1"/>
  <c r="L14" i="17" s="1"/>
  <c r="M14" i="17" s="1"/>
  <c r="B13" i="17"/>
  <c r="C13" i="17" s="1"/>
  <c r="D13" i="17" s="1"/>
  <c r="E13" i="17" s="1"/>
  <c r="F13" i="17" s="1"/>
  <c r="G13" i="17" s="1"/>
  <c r="H13" i="17" s="1"/>
  <c r="I13" i="17" s="1"/>
  <c r="J13" i="17" s="1"/>
  <c r="K13" i="17" s="1"/>
  <c r="L13" i="17" s="1"/>
  <c r="M13" i="17" s="1"/>
  <c r="K12" i="17"/>
  <c r="L12" i="17" s="1"/>
  <c r="M12" i="17" s="1"/>
  <c r="J12" i="17"/>
  <c r="I12" i="17"/>
  <c r="H12" i="17"/>
  <c r="G12" i="17"/>
  <c r="F12" i="17"/>
  <c r="E12" i="17"/>
  <c r="D12" i="17"/>
  <c r="C12" i="17"/>
  <c r="B12" i="17"/>
  <c r="M11" i="17"/>
  <c r="L11" i="17"/>
  <c r="K11" i="17"/>
  <c r="J11" i="17"/>
  <c r="I11" i="17"/>
  <c r="H11" i="17"/>
  <c r="G11" i="17"/>
  <c r="F11" i="17"/>
  <c r="E11" i="17"/>
  <c r="D11" i="17"/>
  <c r="C11" i="17"/>
  <c r="B11" i="17"/>
  <c r="D10" i="17"/>
  <c r="E10" i="17" s="1"/>
  <c r="F10" i="17" s="1"/>
  <c r="G10" i="17" s="1"/>
  <c r="H10" i="17" s="1"/>
  <c r="I10" i="17" s="1"/>
  <c r="J10" i="17" s="1"/>
  <c r="K10" i="17" s="1"/>
  <c r="L10" i="17" s="1"/>
  <c r="M10" i="17" s="1"/>
  <c r="B10" i="17"/>
  <c r="M9" i="17"/>
  <c r="K9" i="17"/>
  <c r="L9" i="17" s="1"/>
  <c r="H9" i="17"/>
  <c r="C9" i="17"/>
  <c r="D9" i="17" s="1"/>
  <c r="B9" i="16"/>
  <c r="C9" i="16"/>
  <c r="D9" i="16" s="1"/>
  <c r="E9" i="16"/>
  <c r="F9" i="16" s="1"/>
  <c r="G9" i="16"/>
  <c r="H9" i="16"/>
  <c r="I9" i="16"/>
  <c r="J9" i="16"/>
  <c r="K9" i="16"/>
  <c r="L9" i="16"/>
  <c r="M9" i="16"/>
  <c r="B10" i="16"/>
  <c r="C10" i="16" s="1"/>
  <c r="B11" i="16"/>
  <c r="C11" i="16"/>
  <c r="D11" i="16"/>
  <c r="E11" i="16"/>
  <c r="F11" i="16"/>
  <c r="G11" i="16"/>
  <c r="H11" i="16"/>
  <c r="I11" i="16"/>
  <c r="J11" i="16"/>
  <c r="K11" i="16"/>
  <c r="L11" i="16"/>
  <c r="M11" i="16"/>
  <c r="B12" i="16"/>
  <c r="C12" i="16" s="1"/>
  <c r="D12" i="16"/>
  <c r="E12" i="16"/>
  <c r="F12" i="16"/>
  <c r="G12" i="16"/>
  <c r="H12" i="16"/>
  <c r="I12" i="16"/>
  <c r="J12" i="16"/>
  <c r="K12" i="16"/>
  <c r="L12" i="16"/>
  <c r="M12" i="16" s="1"/>
  <c r="B13" i="16"/>
  <c r="C13" i="16"/>
  <c r="D13" i="16"/>
  <c r="E13" i="16"/>
  <c r="F13" i="16"/>
  <c r="G13" i="16"/>
  <c r="H13" i="16"/>
  <c r="I13" i="16"/>
  <c r="J13" i="16"/>
  <c r="K13" i="16"/>
  <c r="L13" i="16"/>
  <c r="M13" i="16"/>
  <c r="B14" i="16"/>
  <c r="C14" i="16" s="1"/>
  <c r="D14" i="16" s="1"/>
  <c r="E14" i="16" s="1"/>
  <c r="F14" i="16" s="1"/>
  <c r="G14" i="16" s="1"/>
  <c r="H14" i="16" s="1"/>
  <c r="I14" i="16" s="1"/>
  <c r="J14" i="16" s="1"/>
  <c r="K14" i="16" s="1"/>
  <c r="L14" i="16" s="1"/>
  <c r="M14" i="16" s="1"/>
  <c r="B15" i="16"/>
  <c r="C15" i="16"/>
  <c r="D15" i="16" s="1"/>
  <c r="E15" i="16" s="1"/>
  <c r="F15" i="16" s="1"/>
  <c r="G15" i="16" s="1"/>
  <c r="H15" i="16" s="1"/>
  <c r="I15" i="16" s="1"/>
  <c r="J15" i="16" s="1"/>
  <c r="K15" i="16" s="1"/>
  <c r="L15" i="16" s="1"/>
  <c r="M15" i="16" s="1"/>
  <c r="B16" i="16"/>
  <c r="C16" i="16"/>
  <c r="D16" i="16" s="1"/>
  <c r="E16" i="16" s="1"/>
  <c r="F16" i="16" s="1"/>
  <c r="G16" i="16" s="1"/>
  <c r="H16" i="16" s="1"/>
  <c r="I16" i="16" s="1"/>
  <c r="J16" i="16" s="1"/>
  <c r="K16" i="16" s="1"/>
  <c r="L16" i="16" s="1"/>
  <c r="M16" i="16" s="1"/>
  <c r="B19" i="16"/>
  <c r="C19" i="16" s="1"/>
  <c r="C22" i="16"/>
  <c r="D22" i="16" s="1"/>
  <c r="F22" i="16"/>
  <c r="G22" i="16" s="1"/>
  <c r="B23" i="16"/>
  <c r="C23" i="16"/>
  <c r="D23" i="16"/>
  <c r="E23" i="16"/>
  <c r="F23" i="16"/>
  <c r="G23" i="16"/>
  <c r="H23" i="16"/>
  <c r="I23" i="16"/>
  <c r="J23" i="16"/>
  <c r="K23" i="16"/>
  <c r="L23" i="16"/>
  <c r="M23" i="16"/>
  <c r="B24" i="16"/>
  <c r="C24" i="16"/>
  <c r="D24" i="16"/>
  <c r="E24" i="16"/>
  <c r="F24" i="16"/>
  <c r="G24" i="16"/>
  <c r="H24" i="16"/>
  <c r="I24" i="16"/>
  <c r="J24" i="16"/>
  <c r="K24" i="16"/>
  <c r="L24" i="16"/>
  <c r="M24" i="16"/>
  <c r="B25" i="16"/>
  <c r="C25" i="16" s="1"/>
  <c r="B33" i="16"/>
  <c r="C33" i="16"/>
  <c r="D33" i="16"/>
  <c r="E33" i="16"/>
  <c r="F33" i="16"/>
  <c r="G33" i="16"/>
  <c r="H33" i="16"/>
  <c r="I33" i="16"/>
  <c r="J33" i="16"/>
  <c r="K33" i="16"/>
  <c r="L33" i="16"/>
  <c r="M33" i="16"/>
  <c r="B34" i="16"/>
  <c r="C34" i="16" s="1"/>
  <c r="B37" i="16"/>
  <c r="B38" i="16"/>
  <c r="C38" i="16"/>
  <c r="D38" i="16"/>
  <c r="E38" i="16"/>
  <c r="F38" i="16"/>
  <c r="G38" i="16"/>
  <c r="H38" i="16"/>
  <c r="I38" i="16"/>
  <c r="J38" i="16"/>
  <c r="K38" i="16"/>
  <c r="L38" i="16"/>
  <c r="M38" i="16"/>
  <c r="C39" i="16"/>
  <c r="D39" i="16"/>
  <c r="E39" i="16"/>
  <c r="F39" i="16"/>
  <c r="G39" i="16"/>
  <c r="H39" i="16" s="1"/>
  <c r="I39" i="16" s="1"/>
  <c r="J39" i="16" s="1"/>
  <c r="K39" i="16"/>
  <c r="L39" i="16"/>
  <c r="M39" i="16"/>
  <c r="B40" i="16"/>
  <c r="C40" i="16"/>
  <c r="D40" i="16" s="1"/>
  <c r="E40" i="16" s="1"/>
  <c r="F40" i="16" s="1"/>
  <c r="G40" i="16" s="1"/>
  <c r="H40" i="16" s="1"/>
  <c r="I40" i="16" s="1"/>
  <c r="J40" i="16" s="1"/>
  <c r="K40" i="16" s="1"/>
  <c r="L40" i="16" s="1"/>
  <c r="M40" i="16" s="1"/>
  <c r="B41" i="16"/>
  <c r="C41" i="16" s="1"/>
  <c r="D41" i="16" s="1"/>
  <c r="E41" i="16" s="1"/>
  <c r="F41" i="16" s="1"/>
  <c r="G41" i="16" s="1"/>
  <c r="H41" i="16" s="1"/>
  <c r="I41" i="16" s="1"/>
  <c r="J41" i="16" s="1"/>
  <c r="K41" i="16" s="1"/>
  <c r="L41" i="16" s="1"/>
  <c r="M41" i="16" s="1"/>
  <c r="B42" i="16"/>
  <c r="C42" i="16"/>
  <c r="D42" i="16"/>
  <c r="E42" i="16"/>
  <c r="F42" i="16"/>
  <c r="G42" i="16"/>
  <c r="H42" i="16"/>
  <c r="I42" i="16"/>
  <c r="J42" i="16"/>
  <c r="K42" i="16"/>
  <c r="L42" i="16"/>
  <c r="M42" i="16"/>
  <c r="B43" i="16"/>
  <c r="C43" i="16"/>
  <c r="C45" i="16" s="1"/>
  <c r="D43" i="16"/>
  <c r="E43" i="16"/>
  <c r="F43" i="16"/>
  <c r="G43" i="16"/>
  <c r="H43" i="16"/>
  <c r="I43" i="16"/>
  <c r="J43" i="16"/>
  <c r="K43" i="16"/>
  <c r="K45" i="16" s="1"/>
  <c r="L43" i="16"/>
  <c r="M43" i="16"/>
  <c r="C44" i="16"/>
  <c r="D44" i="16"/>
  <c r="K44" i="16"/>
  <c r="L44" i="16"/>
  <c r="L45" i="16" s="1"/>
  <c r="M44" i="16"/>
  <c r="B45" i="16"/>
  <c r="C47" i="16"/>
  <c r="B48" i="16"/>
  <c r="B49" i="16" s="1"/>
  <c r="C48" i="16"/>
  <c r="D48" i="16"/>
  <c r="E48" i="16"/>
  <c r="F48" i="16"/>
  <c r="G48" i="16"/>
  <c r="H48" i="16"/>
  <c r="I48" i="16"/>
  <c r="J48" i="16" s="1"/>
  <c r="K48" i="16" s="1"/>
  <c r="L48" i="16" s="1"/>
  <c r="M48" i="16" s="1"/>
  <c r="B50" i="16"/>
  <c r="C50" i="16" s="1"/>
  <c r="D50" i="16" s="1"/>
  <c r="E50" i="16" s="1"/>
  <c r="F50" i="16" s="1"/>
  <c r="G50" i="16" s="1"/>
  <c r="H50" i="16" s="1"/>
  <c r="I50" i="16" s="1"/>
  <c r="J50" i="16" s="1"/>
  <c r="K50" i="16" s="1"/>
  <c r="L50" i="16" s="1"/>
  <c r="M50" i="16" s="1"/>
  <c r="B53" i="16"/>
  <c r="C53" i="16" s="1"/>
  <c r="D53" i="16" s="1"/>
  <c r="E53" i="16" s="1"/>
  <c r="F53" i="16" s="1"/>
  <c r="G53" i="16" s="1"/>
  <c r="H53" i="16" s="1"/>
  <c r="B54" i="16"/>
  <c r="C54" i="16"/>
  <c r="D54" i="16" s="1"/>
  <c r="E54" i="16" s="1"/>
  <c r="F54" i="16" s="1"/>
  <c r="G54" i="16" s="1"/>
  <c r="H54" i="16" s="1"/>
  <c r="I54" i="16" s="1"/>
  <c r="J54" i="16" s="1"/>
  <c r="K54" i="16" s="1"/>
  <c r="L54" i="16" s="1"/>
  <c r="M54" i="16" s="1"/>
  <c r="B55" i="16"/>
  <c r="C55" i="16"/>
  <c r="D55" i="16"/>
  <c r="E55" i="16"/>
  <c r="F55" i="16"/>
  <c r="G55" i="16"/>
  <c r="H55" i="16"/>
  <c r="I55" i="16"/>
  <c r="J55" i="16"/>
  <c r="K55" i="16"/>
  <c r="L55" i="16"/>
  <c r="M55" i="16"/>
  <c r="B56" i="16"/>
  <c r="C56" i="16"/>
  <c r="D56" i="16" s="1"/>
  <c r="E56" i="16" s="1"/>
  <c r="F56" i="16" s="1"/>
  <c r="G56" i="16" s="1"/>
  <c r="H56" i="16" s="1"/>
  <c r="I56" i="16" s="1"/>
  <c r="J56" i="16" s="1"/>
  <c r="K56" i="16" s="1"/>
  <c r="L56" i="16" s="1"/>
  <c r="M56" i="16" s="1"/>
  <c r="B57" i="16"/>
  <c r="C57" i="16"/>
  <c r="B58" i="16"/>
  <c r="C58" i="16"/>
  <c r="B59" i="16"/>
  <c r="C59" i="16"/>
  <c r="D59" i="16" s="1"/>
  <c r="E59" i="16" s="1"/>
  <c r="F59" i="16" s="1"/>
  <c r="G59" i="16" s="1"/>
  <c r="H59" i="16" s="1"/>
  <c r="I59" i="16" s="1"/>
  <c r="J59" i="16" s="1"/>
  <c r="K59" i="16" s="1"/>
  <c r="L59" i="16" s="1"/>
  <c r="M59" i="16" s="1"/>
  <c r="B60" i="16"/>
  <c r="B61" i="16"/>
  <c r="C61" i="16"/>
  <c r="D61" i="16"/>
  <c r="E61" i="16"/>
  <c r="F61" i="16"/>
  <c r="G61" i="16"/>
  <c r="H61" i="16"/>
  <c r="I61" i="16" s="1"/>
  <c r="J61" i="16" s="1"/>
  <c r="K61" i="16" s="1"/>
  <c r="L61" i="16" s="1"/>
  <c r="M61" i="16" s="1"/>
  <c r="C62" i="16"/>
  <c r="D62" i="16" s="1"/>
  <c r="E62" i="16" s="1"/>
  <c r="F62" i="16" s="1"/>
  <c r="B63" i="16"/>
  <c r="C63" i="16"/>
  <c r="D63" i="16" s="1"/>
  <c r="E63" i="16" s="1"/>
  <c r="F63" i="16" s="1"/>
  <c r="G63" i="16" s="1"/>
  <c r="H63" i="16" s="1"/>
  <c r="I63" i="16" s="1"/>
  <c r="J63" i="16" s="1"/>
  <c r="K63" i="16" s="1"/>
  <c r="L63" i="16" s="1"/>
  <c r="M63" i="16" s="1"/>
  <c r="B64" i="16"/>
  <c r="C64" i="16" s="1"/>
  <c r="D64" i="16" s="1"/>
  <c r="E64" i="16" s="1"/>
  <c r="B65" i="16"/>
  <c r="C65" i="16" s="1"/>
  <c r="D65" i="16" s="1"/>
  <c r="E65" i="16" s="1"/>
  <c r="F65" i="16" s="1"/>
  <c r="G65" i="16" s="1"/>
  <c r="H65" i="16" s="1"/>
  <c r="I65" i="16" s="1"/>
  <c r="J65" i="16" s="1"/>
  <c r="K65" i="16" s="1"/>
  <c r="L65" i="16" s="1"/>
  <c r="M65" i="16" s="1"/>
  <c r="B67" i="16"/>
  <c r="C67" i="16" s="1"/>
  <c r="D67" i="16" s="1"/>
  <c r="E67" i="16" s="1"/>
  <c r="F67" i="16" s="1"/>
  <c r="G67" i="16" s="1"/>
  <c r="H67" i="16" s="1"/>
  <c r="I67" i="16" s="1"/>
  <c r="J67" i="16" s="1"/>
  <c r="K67" i="16"/>
  <c r="L67" i="16" s="1"/>
  <c r="M67" i="16"/>
  <c r="C71" i="16"/>
  <c r="D71" i="16" s="1"/>
  <c r="E71" i="16" s="1"/>
  <c r="F71" i="16" s="1"/>
  <c r="G71" i="16" s="1"/>
  <c r="H71" i="16" s="1"/>
  <c r="I71" i="16" s="1"/>
  <c r="J71" i="16" s="1"/>
  <c r="B72" i="16"/>
  <c r="B74" i="16" s="1"/>
  <c r="B73" i="16"/>
  <c r="C73" i="16" s="1"/>
  <c r="D73" i="16" s="1"/>
  <c r="E73" i="16" s="1"/>
  <c r="F73" i="16" s="1"/>
  <c r="G73" i="16" s="1"/>
  <c r="H73" i="16" s="1"/>
  <c r="I73" i="16" s="1"/>
  <c r="J73" i="16" s="1"/>
  <c r="K73" i="16" s="1"/>
  <c r="L73" i="16" s="1"/>
  <c r="M73" i="16" s="1"/>
  <c r="B75" i="16"/>
  <c r="C75" i="16" s="1"/>
  <c r="D75" i="16" s="1"/>
  <c r="B76" i="16"/>
  <c r="B78" i="16"/>
  <c r="C78" i="16" s="1"/>
  <c r="D78" i="16"/>
  <c r="E78" i="16" s="1"/>
  <c r="F78" i="16" s="1"/>
  <c r="G78" i="16" s="1"/>
  <c r="H78" i="16" s="1"/>
  <c r="I78" i="16" s="1"/>
  <c r="B79" i="16"/>
  <c r="C79" i="16" s="1"/>
  <c r="B85" i="16"/>
  <c r="C85" i="16" s="1"/>
  <c r="D85" i="16" s="1"/>
  <c r="E85" i="16" s="1"/>
  <c r="F85" i="16" s="1"/>
  <c r="C86" i="16"/>
  <c r="D86" i="16" s="1"/>
  <c r="E86" i="16" s="1"/>
  <c r="F86" i="16" s="1"/>
  <c r="C87" i="16"/>
  <c r="D87" i="16" s="1"/>
  <c r="E87" i="16" s="1"/>
  <c r="B88" i="16"/>
  <c r="B90" i="16" s="1"/>
  <c r="B89" i="16"/>
  <c r="C89" i="16" s="1"/>
  <c r="D89" i="16" s="1"/>
  <c r="E89" i="16" s="1"/>
  <c r="F89" i="16" s="1"/>
  <c r="G89" i="16" s="1"/>
  <c r="H89" i="16" s="1"/>
  <c r="I89" i="16" s="1"/>
  <c r="J89" i="16" s="1"/>
  <c r="K89" i="16" s="1"/>
  <c r="L89" i="16" s="1"/>
  <c r="M89" i="16" s="1"/>
  <c r="C91" i="16"/>
  <c r="D91" i="16" s="1"/>
  <c r="B92" i="16"/>
  <c r="B93" i="16" s="1"/>
  <c r="B95" i="16"/>
  <c r="C95" i="16" s="1"/>
  <c r="D95" i="16" s="1"/>
  <c r="E95" i="16" s="1"/>
  <c r="F95" i="16" s="1"/>
  <c r="G95" i="16" s="1"/>
  <c r="H95" i="16" s="1"/>
  <c r="I95" i="16" s="1"/>
  <c r="J95" i="16" s="1"/>
  <c r="K95" i="16" s="1"/>
  <c r="L95" i="16" s="1"/>
  <c r="M95" i="16" s="1"/>
  <c r="B96" i="16"/>
  <c r="C96" i="16" s="1"/>
  <c r="D96" i="16" s="1"/>
  <c r="E96" i="16" s="1"/>
  <c r="F96" i="16" s="1"/>
  <c r="G96" i="16" s="1"/>
  <c r="H96" i="16" s="1"/>
  <c r="I96" i="16" s="1"/>
  <c r="J96" i="16" s="1"/>
  <c r="K96" i="16" s="1"/>
  <c r="L96" i="16" s="1"/>
  <c r="M96" i="16" s="1"/>
  <c r="B97" i="16"/>
  <c r="C97" i="16" s="1"/>
  <c r="D97" i="16" s="1"/>
  <c r="E97" i="16" s="1"/>
  <c r="F97" i="16" s="1"/>
  <c r="G97" i="16" s="1"/>
  <c r="H97" i="16" s="1"/>
  <c r="I97" i="16" s="1"/>
  <c r="J97" i="16" s="1"/>
  <c r="K97" i="16" s="1"/>
  <c r="L97" i="16" s="1"/>
  <c r="M97" i="16" s="1"/>
  <c r="B98" i="16"/>
  <c r="C98" i="16" s="1"/>
  <c r="D98" i="16" s="1"/>
  <c r="E98" i="16" s="1"/>
  <c r="F98" i="16" s="1"/>
  <c r="G98" i="16" s="1"/>
  <c r="H98" i="16" s="1"/>
  <c r="I98" i="16" s="1"/>
  <c r="J98" i="16" s="1"/>
  <c r="K98" i="16" s="1"/>
  <c r="L98" i="16" s="1"/>
  <c r="M98" i="16" s="1"/>
  <c r="B99" i="16"/>
  <c r="C99" i="16" s="1"/>
  <c r="D99" i="16" s="1"/>
  <c r="E99" i="16" s="1"/>
  <c r="F99" i="16"/>
  <c r="G99" i="16"/>
  <c r="H99" i="16"/>
  <c r="I99" i="16"/>
  <c r="J99" i="16" s="1"/>
  <c r="K99" i="16" s="1"/>
  <c r="L99" i="16" s="1"/>
  <c r="M99" i="16"/>
  <c r="B100" i="16"/>
  <c r="C100" i="16"/>
  <c r="D100" i="16"/>
  <c r="E100" i="16"/>
  <c r="F100" i="16"/>
  <c r="G100" i="16"/>
  <c r="H100" i="16"/>
  <c r="I100" i="16"/>
  <c r="J100" i="16"/>
  <c r="K100" i="16"/>
  <c r="L100" i="16"/>
  <c r="M100" i="16"/>
  <c r="BK169" i="12"/>
  <c r="BJ169" i="12"/>
  <c r="BI169" i="12"/>
  <c r="BH169" i="12"/>
  <c r="BG169" i="12"/>
  <c r="BF169" i="12"/>
  <c r="BE169" i="12"/>
  <c r="BD169" i="12"/>
  <c r="BC169" i="12"/>
  <c r="BB169" i="12"/>
  <c r="BA169" i="12"/>
  <c r="AZ169" i="12"/>
  <c r="AY169" i="12"/>
  <c r="AX169" i="12"/>
  <c r="AW169" i="12"/>
  <c r="AV169" i="12"/>
  <c r="AU169" i="12"/>
  <c r="AT169" i="12"/>
  <c r="AS169" i="12"/>
  <c r="AR169" i="12"/>
  <c r="AQ169" i="12"/>
  <c r="AP169" i="12"/>
  <c r="AO169" i="12"/>
  <c r="AN169" i="12"/>
  <c r="AM169" i="12"/>
  <c r="AL169" i="12"/>
  <c r="AK169" i="12"/>
  <c r="AJ169" i="12"/>
  <c r="AI169" i="12"/>
  <c r="AH169" i="12"/>
  <c r="AG169" i="12"/>
  <c r="AF169" i="12"/>
  <c r="AE169" i="12"/>
  <c r="AD169" i="12"/>
  <c r="AC169" i="12"/>
  <c r="AB169" i="12"/>
  <c r="AA169" i="12"/>
  <c r="Z169" i="12"/>
  <c r="Y169" i="12"/>
  <c r="X169" i="12"/>
  <c r="W169" i="12"/>
  <c r="V169" i="12"/>
  <c r="U169" i="12"/>
  <c r="T169" i="12"/>
  <c r="S169" i="12"/>
  <c r="R169" i="12"/>
  <c r="Q169" i="12"/>
  <c r="P169" i="12"/>
  <c r="O169" i="12"/>
  <c r="N169" i="12"/>
  <c r="M169" i="12"/>
  <c r="L169" i="12"/>
  <c r="K169" i="12"/>
  <c r="J169" i="12"/>
  <c r="I169" i="12"/>
  <c r="H169" i="12"/>
  <c r="G169" i="12"/>
  <c r="F169" i="12"/>
  <c r="E169" i="12"/>
  <c r="D169" i="12"/>
  <c r="BK152" i="12"/>
  <c r="BJ152" i="12"/>
  <c r="BI152" i="12"/>
  <c r="BH152" i="12"/>
  <c r="BG152" i="12"/>
  <c r="BF152" i="12"/>
  <c r="BE152" i="12"/>
  <c r="BD152" i="12"/>
  <c r="BC152" i="12"/>
  <c r="BB152" i="12"/>
  <c r="BA152" i="12"/>
  <c r="AZ152" i="12"/>
  <c r="AY152" i="12"/>
  <c r="AX152" i="12"/>
  <c r="AW152" i="12"/>
  <c r="AV152" i="12"/>
  <c r="AU152" i="12"/>
  <c r="AT152" i="12"/>
  <c r="AS152" i="12"/>
  <c r="AR152" i="12"/>
  <c r="AQ152" i="12"/>
  <c r="AP152" i="12"/>
  <c r="AO152" i="12"/>
  <c r="AN152" i="12"/>
  <c r="AM152" i="12"/>
  <c r="AL152" i="12"/>
  <c r="AK152" i="12"/>
  <c r="AJ152" i="12"/>
  <c r="AI152" i="12"/>
  <c r="AH152" i="12"/>
  <c r="AG152" i="12"/>
  <c r="AF152" i="12"/>
  <c r="AE152" i="12"/>
  <c r="AD152" i="12"/>
  <c r="AC152" i="12"/>
  <c r="AB152" i="12"/>
  <c r="AA152" i="12"/>
  <c r="Z152" i="12"/>
  <c r="Y152" i="12"/>
  <c r="X152" i="12"/>
  <c r="W152" i="12"/>
  <c r="V152" i="12"/>
  <c r="U152" i="12"/>
  <c r="T152" i="12"/>
  <c r="S152" i="12"/>
  <c r="R152" i="12"/>
  <c r="Q152" i="12"/>
  <c r="P152" i="12"/>
  <c r="O152" i="12"/>
  <c r="N152" i="12"/>
  <c r="M152" i="12"/>
  <c r="L152" i="12"/>
  <c r="K152" i="12"/>
  <c r="J152" i="12"/>
  <c r="I152" i="12"/>
  <c r="H152" i="12"/>
  <c r="G152" i="12"/>
  <c r="F152" i="12"/>
  <c r="E152" i="12"/>
  <c r="D152" i="12"/>
  <c r="BK150" i="12"/>
  <c r="BJ150" i="12"/>
  <c r="BI150" i="12"/>
  <c r="BH150" i="12"/>
  <c r="BG150" i="12"/>
  <c r="BF150" i="12"/>
  <c r="BE150" i="12"/>
  <c r="BD150" i="12"/>
  <c r="BC150" i="12"/>
  <c r="BB150" i="12"/>
  <c r="BA150" i="12"/>
  <c r="AZ150" i="12"/>
  <c r="AY150" i="12"/>
  <c r="AX150" i="12"/>
  <c r="AW150" i="12"/>
  <c r="AV150" i="12"/>
  <c r="AU150" i="12"/>
  <c r="AT150" i="12"/>
  <c r="AS150" i="12"/>
  <c r="AR150" i="12"/>
  <c r="AQ150" i="12"/>
  <c r="AP150" i="12"/>
  <c r="AO150" i="12"/>
  <c r="AN150" i="12"/>
  <c r="AM150" i="12"/>
  <c r="AL150" i="12"/>
  <c r="AK150" i="12"/>
  <c r="AJ150" i="12"/>
  <c r="AI150" i="12"/>
  <c r="AH150" i="12"/>
  <c r="AG150" i="12"/>
  <c r="AF150" i="12"/>
  <c r="AE150" i="12"/>
  <c r="AD150" i="12"/>
  <c r="AC150" i="12"/>
  <c r="AB150" i="12"/>
  <c r="AA150" i="12"/>
  <c r="Z150" i="12"/>
  <c r="Y150" i="12"/>
  <c r="X150" i="12"/>
  <c r="W150" i="12"/>
  <c r="V150" i="12"/>
  <c r="U150" i="12"/>
  <c r="T150" i="12"/>
  <c r="S150" i="12"/>
  <c r="R150" i="12"/>
  <c r="Q150" i="12"/>
  <c r="P150" i="12"/>
  <c r="O150" i="12"/>
  <c r="N150" i="12"/>
  <c r="M150" i="12"/>
  <c r="L150" i="12"/>
  <c r="K150" i="12"/>
  <c r="J150" i="12"/>
  <c r="I150" i="12"/>
  <c r="H150" i="12"/>
  <c r="G150" i="12"/>
  <c r="F150" i="12"/>
  <c r="E150" i="12"/>
  <c r="D150" i="12"/>
  <c r="BK117" i="12"/>
  <c r="BJ117" i="12"/>
  <c r="BI117" i="12"/>
  <c r="BH117" i="12"/>
  <c r="BG117" i="12"/>
  <c r="BF117" i="12"/>
  <c r="BE117" i="12"/>
  <c r="BD117" i="12"/>
  <c r="BC117" i="12"/>
  <c r="BB117" i="12"/>
  <c r="BA117" i="12"/>
  <c r="AZ117" i="12"/>
  <c r="AY117" i="12"/>
  <c r="AX117" i="12"/>
  <c r="AW117" i="12"/>
  <c r="AV117" i="12"/>
  <c r="AU117" i="12"/>
  <c r="AT117" i="12"/>
  <c r="AS117" i="12"/>
  <c r="AR117" i="12"/>
  <c r="AQ117" i="12"/>
  <c r="AP117" i="12"/>
  <c r="AO117" i="12"/>
  <c r="AN117" i="12"/>
  <c r="AM117" i="12"/>
  <c r="AL117" i="12"/>
  <c r="AK117" i="12"/>
  <c r="AJ117" i="12"/>
  <c r="AI117" i="12"/>
  <c r="AH117" i="12"/>
  <c r="AG117" i="12"/>
  <c r="AF117" i="12"/>
  <c r="AE117" i="12"/>
  <c r="AD117" i="12"/>
  <c r="AC117" i="12"/>
  <c r="AB117" i="12"/>
  <c r="AA117" i="12"/>
  <c r="Z117" i="12"/>
  <c r="Y117" i="12"/>
  <c r="X117" i="12"/>
  <c r="W117" i="12"/>
  <c r="V117" i="12"/>
  <c r="U117" i="12"/>
  <c r="T117" i="12"/>
  <c r="S117" i="12"/>
  <c r="R117" i="12"/>
  <c r="Q117" i="12"/>
  <c r="P117" i="12"/>
  <c r="O117" i="12"/>
  <c r="N117" i="12"/>
  <c r="M117" i="12"/>
  <c r="L117" i="12"/>
  <c r="K117" i="12"/>
  <c r="J117" i="12"/>
  <c r="I117" i="12"/>
  <c r="H117" i="12"/>
  <c r="G117" i="12"/>
  <c r="F117" i="12"/>
  <c r="E117" i="12"/>
  <c r="D117" i="12"/>
  <c r="BK95" i="12"/>
  <c r="BJ95" i="12"/>
  <c r="BI95" i="12"/>
  <c r="BH95" i="12"/>
  <c r="BG95" i="12"/>
  <c r="BF95" i="12"/>
  <c r="BE95" i="12"/>
  <c r="BD95" i="12"/>
  <c r="BC95" i="12"/>
  <c r="BB95" i="12"/>
  <c r="BA95" i="12"/>
  <c r="AZ95" i="12"/>
  <c r="AY95" i="12"/>
  <c r="AX95" i="12"/>
  <c r="AW95" i="12"/>
  <c r="AV95" i="12"/>
  <c r="AU95" i="12"/>
  <c r="AT95" i="12"/>
  <c r="AS95" i="12"/>
  <c r="AR95" i="12"/>
  <c r="AQ95" i="12"/>
  <c r="AP95" i="12"/>
  <c r="AO95" i="12"/>
  <c r="AN95" i="12"/>
  <c r="AM95" i="12"/>
  <c r="AL95" i="12"/>
  <c r="AK95" i="12"/>
  <c r="AJ95" i="12"/>
  <c r="AI95" i="12"/>
  <c r="AH95" i="12"/>
  <c r="AG95" i="12"/>
  <c r="AF95" i="12"/>
  <c r="AE95" i="12"/>
  <c r="AD95" i="12"/>
  <c r="AC95" i="12"/>
  <c r="AB95" i="12"/>
  <c r="AA95" i="12"/>
  <c r="Z95" i="12"/>
  <c r="Y95" i="12"/>
  <c r="X95" i="12"/>
  <c r="W95" i="12"/>
  <c r="V95" i="12"/>
  <c r="U95" i="12"/>
  <c r="T95" i="12"/>
  <c r="S95" i="12"/>
  <c r="R95" i="12"/>
  <c r="Q95" i="12"/>
  <c r="P95" i="12"/>
  <c r="O95" i="12"/>
  <c r="N95" i="12"/>
  <c r="M95" i="12"/>
  <c r="L95" i="12"/>
  <c r="K95" i="12"/>
  <c r="J95" i="12"/>
  <c r="I95" i="12"/>
  <c r="H95" i="12"/>
  <c r="G95" i="12"/>
  <c r="F95" i="12"/>
  <c r="E95" i="12"/>
  <c r="D95" i="12"/>
  <c r="B50" i="12"/>
  <c r="CI49" i="12"/>
  <c r="CH49" i="12"/>
  <c r="CG49" i="12"/>
  <c r="CF49" i="12"/>
  <c r="CE49" i="12"/>
  <c r="CD49" i="12"/>
  <c r="CC49" i="12"/>
  <c r="CB49" i="12"/>
  <c r="CA49" i="12"/>
  <c r="BZ49" i="12"/>
  <c r="BY49" i="12"/>
  <c r="BX49" i="12"/>
  <c r="BW49" i="12"/>
  <c r="BV49" i="12"/>
  <c r="BU49" i="12"/>
  <c r="BT49" i="12"/>
  <c r="BS49" i="12"/>
  <c r="BR49" i="12"/>
  <c r="BW23" i="12"/>
  <c r="BV23" i="12"/>
  <c r="BU23" i="12"/>
  <c r="BT23" i="12"/>
  <c r="BS23" i="12"/>
  <c r="BR23" i="12"/>
  <c r="CI25" i="12"/>
  <c r="CH25" i="12"/>
  <c r="CG25" i="12"/>
  <c r="CF25" i="12"/>
  <c r="CE25" i="12"/>
  <c r="CD25" i="12"/>
  <c r="CC25" i="12"/>
  <c r="CB25" i="12"/>
  <c r="CA25" i="12"/>
  <c r="BZ25" i="12"/>
  <c r="BY25" i="12"/>
  <c r="BX25" i="12"/>
  <c r="BW25" i="12"/>
  <c r="BV25" i="12"/>
  <c r="BU25" i="12"/>
  <c r="BT25" i="12"/>
  <c r="BS25" i="12"/>
  <c r="BR25" i="12"/>
  <c r="CI21" i="12"/>
  <c r="CH21" i="12"/>
  <c r="CG21" i="12"/>
  <c r="CF21" i="12"/>
  <c r="CE21" i="12"/>
  <c r="CD21" i="12"/>
  <c r="CC21" i="12"/>
  <c r="CB21" i="12"/>
  <c r="CA21" i="12"/>
  <c r="BZ21" i="12"/>
  <c r="BY21" i="12"/>
  <c r="BX21" i="12"/>
  <c r="BW21" i="12"/>
  <c r="BV21" i="12"/>
  <c r="BU21" i="12"/>
  <c r="BT21" i="12"/>
  <c r="BS21" i="12"/>
  <c r="BR21" i="12"/>
  <c r="CI20" i="12"/>
  <c r="CH20" i="12"/>
  <c r="CG20" i="12"/>
  <c r="CF20" i="12"/>
  <c r="CE20" i="12"/>
  <c r="CD20" i="12"/>
  <c r="CC20" i="12"/>
  <c r="CB20" i="12"/>
  <c r="CA20" i="12"/>
  <c r="BZ20" i="12"/>
  <c r="BY20" i="12"/>
  <c r="BX20" i="12"/>
  <c r="BW20" i="12"/>
  <c r="BV20" i="12"/>
  <c r="BU20" i="12"/>
  <c r="BT20" i="12"/>
  <c r="BS20" i="12"/>
  <c r="BR20" i="12"/>
  <c r="CI13" i="12"/>
  <c r="CH13" i="12"/>
  <c r="CG13" i="12"/>
  <c r="CF13" i="12"/>
  <c r="CE13" i="12"/>
  <c r="CD13" i="12"/>
  <c r="CC13" i="12"/>
  <c r="CB13" i="12"/>
  <c r="CA13" i="12"/>
  <c r="BZ13" i="12"/>
  <c r="BY13" i="12"/>
  <c r="BX13" i="12"/>
  <c r="BW13" i="12"/>
  <c r="BV13" i="12"/>
  <c r="BU13" i="12"/>
  <c r="BT13" i="12"/>
  <c r="BS13" i="12"/>
  <c r="BR13" i="12"/>
  <c r="AJ6" i="12"/>
  <c r="AK6" i="12"/>
  <c r="AL6" i="12"/>
  <c r="AM6" i="12"/>
  <c r="AN6" i="12"/>
  <c r="AO6" i="12"/>
  <c r="AP6" i="12"/>
  <c r="AQ6" i="12"/>
  <c r="AR6" i="12"/>
  <c r="AS6" i="12"/>
  <c r="AT6" i="12"/>
  <c r="AU6" i="12"/>
  <c r="AV6" i="12"/>
  <c r="AW6" i="12"/>
  <c r="AX6" i="12"/>
  <c r="AY6" i="12"/>
  <c r="AZ6" i="12"/>
  <c r="BA6" i="12"/>
  <c r="BB6" i="12"/>
  <c r="BC6" i="12"/>
  <c r="BD6" i="12"/>
  <c r="BE6" i="12"/>
  <c r="BF6" i="12"/>
  <c r="BG6" i="12"/>
  <c r="AJ7" i="12"/>
  <c r="AK7" i="12"/>
  <c r="AL7" i="12"/>
  <c r="AM7" i="12"/>
  <c r="AN7" i="12"/>
  <c r="AO7" i="12"/>
  <c r="AP7" i="12"/>
  <c r="AQ7" i="12"/>
  <c r="AR7" i="12"/>
  <c r="AS7" i="12"/>
  <c r="AT7" i="12"/>
  <c r="AU7" i="12"/>
  <c r="AV7" i="12"/>
  <c r="AW7" i="12"/>
  <c r="AX7" i="12"/>
  <c r="AY7" i="12"/>
  <c r="AZ7" i="12"/>
  <c r="BA7" i="12"/>
  <c r="BB7" i="12"/>
  <c r="BC7" i="12"/>
  <c r="BD7" i="12"/>
  <c r="BE7" i="12"/>
  <c r="BF7" i="12"/>
  <c r="BG7" i="12"/>
  <c r="AJ8" i="12"/>
  <c r="AK8" i="12"/>
  <c r="AL8" i="12"/>
  <c r="AM8" i="12"/>
  <c r="AN8" i="12"/>
  <c r="AO8" i="12"/>
  <c r="AP8" i="12"/>
  <c r="AQ8" i="12"/>
  <c r="AR8" i="12"/>
  <c r="AS8" i="12"/>
  <c r="AT8" i="12"/>
  <c r="AU8" i="12"/>
  <c r="AV8" i="12"/>
  <c r="AW8" i="12"/>
  <c r="AX8" i="12"/>
  <c r="AY8" i="12"/>
  <c r="AZ8" i="12"/>
  <c r="BA8" i="12"/>
  <c r="BB8" i="12"/>
  <c r="BC8" i="12"/>
  <c r="BD8" i="12"/>
  <c r="BE8" i="12"/>
  <c r="BF8" i="12"/>
  <c r="BG8" i="12"/>
  <c r="AJ10" i="12"/>
  <c r="AK10" i="12"/>
  <c r="AL10" i="12"/>
  <c r="AM10" i="12"/>
  <c r="AN10" i="12"/>
  <c r="AO10" i="12"/>
  <c r="AP10" i="12"/>
  <c r="AQ10" i="12"/>
  <c r="AR10" i="12"/>
  <c r="AS10" i="12"/>
  <c r="AT10" i="12"/>
  <c r="AU10" i="12"/>
  <c r="AV10" i="12"/>
  <c r="AW10" i="12"/>
  <c r="AX10" i="12"/>
  <c r="AY10" i="12"/>
  <c r="AZ10" i="12"/>
  <c r="BA10" i="12"/>
  <c r="BB10" i="12"/>
  <c r="BC10" i="12"/>
  <c r="BD10" i="12"/>
  <c r="BE10" i="12"/>
  <c r="BF10" i="12"/>
  <c r="BG10" i="12"/>
  <c r="AJ11" i="12"/>
  <c r="AK11" i="12"/>
  <c r="AL11" i="12"/>
  <c r="AM11" i="12"/>
  <c r="AN11" i="12"/>
  <c r="AO11" i="12"/>
  <c r="AP11" i="12"/>
  <c r="AQ11" i="12"/>
  <c r="AR11" i="12"/>
  <c r="AS11" i="12"/>
  <c r="AT11" i="12"/>
  <c r="AU11" i="12"/>
  <c r="AV11" i="12"/>
  <c r="AW11" i="12"/>
  <c r="AX11" i="12"/>
  <c r="AY11" i="12"/>
  <c r="AZ11" i="12"/>
  <c r="BA11" i="12"/>
  <c r="BB11" i="12"/>
  <c r="BC11" i="12"/>
  <c r="BD11" i="12"/>
  <c r="BE11" i="12"/>
  <c r="BF11" i="12"/>
  <c r="BG11" i="12"/>
  <c r="AJ12" i="12"/>
  <c r="AK12" i="12"/>
  <c r="AL12" i="12"/>
  <c r="AM12" i="12"/>
  <c r="AN12" i="12"/>
  <c r="AO12" i="12"/>
  <c r="AP12" i="12"/>
  <c r="AQ12" i="12"/>
  <c r="AR12" i="12"/>
  <c r="AS12" i="12"/>
  <c r="AT12" i="12"/>
  <c r="AU12" i="12"/>
  <c r="AV12" i="12"/>
  <c r="AW12" i="12"/>
  <c r="AX12" i="12"/>
  <c r="AY12" i="12"/>
  <c r="AZ12" i="12"/>
  <c r="BA12" i="12"/>
  <c r="BB12" i="12"/>
  <c r="BC12" i="12"/>
  <c r="BD12" i="12"/>
  <c r="BE12" i="12"/>
  <c r="BF12" i="12"/>
  <c r="BG12" i="12"/>
  <c r="AJ14" i="12"/>
  <c r="AK14" i="12"/>
  <c r="AL14" i="12"/>
  <c r="AM14" i="12"/>
  <c r="AN14" i="12"/>
  <c r="AO14" i="12"/>
  <c r="AP14" i="12"/>
  <c r="AQ14" i="12"/>
  <c r="AR14" i="12"/>
  <c r="AS14" i="12"/>
  <c r="AT14" i="12"/>
  <c r="AU14" i="12"/>
  <c r="AV14" i="12"/>
  <c r="AW14" i="12"/>
  <c r="AX14" i="12"/>
  <c r="AY14" i="12"/>
  <c r="AZ14" i="12"/>
  <c r="BA14" i="12"/>
  <c r="BB14" i="12"/>
  <c r="BC14" i="12"/>
  <c r="BD14" i="12"/>
  <c r="BE14" i="12"/>
  <c r="BF14" i="12"/>
  <c r="BG14" i="12"/>
  <c r="AJ15" i="12"/>
  <c r="AK15" i="12"/>
  <c r="AL15" i="12"/>
  <c r="AM15" i="12"/>
  <c r="AN15" i="12"/>
  <c r="AO15" i="12"/>
  <c r="AP15" i="12"/>
  <c r="AQ15" i="12"/>
  <c r="AR15" i="12"/>
  <c r="AS15" i="12"/>
  <c r="AT15" i="12"/>
  <c r="AU15" i="12"/>
  <c r="AV15" i="12"/>
  <c r="AW15" i="12"/>
  <c r="AX15" i="12"/>
  <c r="AY15" i="12"/>
  <c r="AZ15" i="12"/>
  <c r="BA15" i="12"/>
  <c r="BB15" i="12"/>
  <c r="BC15" i="12"/>
  <c r="BD15" i="12"/>
  <c r="BE15" i="12"/>
  <c r="BF15" i="12"/>
  <c r="BG15" i="12"/>
  <c r="AJ16" i="12"/>
  <c r="AK16" i="12"/>
  <c r="AL16" i="12"/>
  <c r="AM16" i="12"/>
  <c r="AN16" i="12"/>
  <c r="AO16" i="12"/>
  <c r="AP16" i="12"/>
  <c r="AQ16" i="12"/>
  <c r="AR16" i="12"/>
  <c r="AS16" i="12"/>
  <c r="AT16" i="12"/>
  <c r="AU16" i="12"/>
  <c r="AV16" i="12"/>
  <c r="AW16" i="12"/>
  <c r="AX16" i="12"/>
  <c r="AY16" i="12"/>
  <c r="AZ16" i="12"/>
  <c r="BA16" i="12"/>
  <c r="BB16" i="12"/>
  <c r="BC16" i="12"/>
  <c r="BD16" i="12"/>
  <c r="BE16" i="12"/>
  <c r="BF16" i="12"/>
  <c r="BG16" i="12"/>
  <c r="AJ17" i="12"/>
  <c r="AK17" i="12"/>
  <c r="AL17" i="12"/>
  <c r="AM17" i="12"/>
  <c r="AN17" i="12"/>
  <c r="AO17" i="12"/>
  <c r="AP17" i="12"/>
  <c r="AQ17" i="12"/>
  <c r="AR17" i="12"/>
  <c r="AS17" i="12"/>
  <c r="AT17" i="12"/>
  <c r="AU17" i="12"/>
  <c r="AV17" i="12"/>
  <c r="AW17" i="12"/>
  <c r="AX17" i="12"/>
  <c r="AY17" i="12"/>
  <c r="AZ17" i="12"/>
  <c r="BA17" i="12"/>
  <c r="BB17" i="12"/>
  <c r="BC17" i="12"/>
  <c r="BD17" i="12"/>
  <c r="BE17" i="12"/>
  <c r="BF17" i="12"/>
  <c r="BG17" i="12"/>
  <c r="AG17" i="12"/>
  <c r="AH17" i="12"/>
  <c r="AI17" i="12"/>
  <c r="AG18" i="12"/>
  <c r="AH18" i="12"/>
  <c r="AG7" i="12"/>
  <c r="AH7" i="12"/>
  <c r="AI7" i="12"/>
  <c r="AG8" i="12"/>
  <c r="AH8" i="12"/>
  <c r="AI8" i="12"/>
  <c r="AG10" i="12"/>
  <c r="AH10" i="12"/>
  <c r="AI10" i="12"/>
  <c r="AG11" i="12"/>
  <c r="AH11" i="12"/>
  <c r="AI11" i="12"/>
  <c r="AG12" i="12"/>
  <c r="AH12" i="12"/>
  <c r="AI12" i="12"/>
  <c r="AG14" i="12"/>
  <c r="AH14" i="12"/>
  <c r="AI14" i="12"/>
  <c r="AG15" i="12"/>
  <c r="AH15" i="12"/>
  <c r="AI15" i="12"/>
  <c r="AG16" i="12"/>
  <c r="AH16" i="12"/>
  <c r="AI16" i="12"/>
  <c r="AH6" i="12"/>
  <c r="AI6" i="12"/>
  <c r="AG6" i="12"/>
  <c r="BK164" i="12"/>
  <c r="BJ164" i="12"/>
  <c r="BI164" i="12"/>
  <c r="BH164" i="12"/>
  <c r="BG164" i="12"/>
  <c r="BF164" i="12"/>
  <c r="BE164" i="12"/>
  <c r="BD164" i="12"/>
  <c r="BC164" i="12"/>
  <c r="BB164" i="12"/>
  <c r="BA164" i="12"/>
  <c r="AZ164" i="12"/>
  <c r="BK163" i="12"/>
  <c r="BJ163" i="12"/>
  <c r="BI163" i="12"/>
  <c r="BH163" i="12"/>
  <c r="BG163" i="12"/>
  <c r="BF163" i="12"/>
  <c r="BE163" i="12"/>
  <c r="BD163" i="12"/>
  <c r="BC163" i="12"/>
  <c r="BB163" i="12"/>
  <c r="BA163" i="12"/>
  <c r="AZ163" i="12"/>
  <c r="BK162" i="12"/>
  <c r="BJ162" i="12"/>
  <c r="BI162" i="12"/>
  <c r="BH162" i="12"/>
  <c r="BG162" i="12"/>
  <c r="BF162" i="12"/>
  <c r="BE162" i="12"/>
  <c r="BD162" i="12"/>
  <c r="BC162" i="12"/>
  <c r="BB162" i="12"/>
  <c r="BA162" i="12"/>
  <c r="AZ162" i="12"/>
  <c r="BK161" i="12"/>
  <c r="BJ161" i="12"/>
  <c r="BI161" i="12"/>
  <c r="BH161" i="12"/>
  <c r="BG161" i="12"/>
  <c r="BF161" i="12"/>
  <c r="BE161" i="12"/>
  <c r="BD161" i="12"/>
  <c r="BC161" i="12"/>
  <c r="BB161" i="12"/>
  <c r="BA161" i="12"/>
  <c r="AZ161" i="12"/>
  <c r="BK160" i="12"/>
  <c r="BJ160" i="12"/>
  <c r="BI160" i="12"/>
  <c r="BH160" i="12"/>
  <c r="BG160" i="12"/>
  <c r="BF160" i="12"/>
  <c r="BE160" i="12"/>
  <c r="BD160" i="12"/>
  <c r="BC160" i="12"/>
  <c r="BB160" i="12"/>
  <c r="BA160" i="12"/>
  <c r="AZ160" i="12"/>
  <c r="BK159" i="12"/>
  <c r="BJ159" i="12"/>
  <c r="BI159" i="12"/>
  <c r="BH159" i="12"/>
  <c r="BG159" i="12"/>
  <c r="BF159" i="12"/>
  <c r="BE159" i="12"/>
  <c r="BD159" i="12"/>
  <c r="BC159" i="12"/>
  <c r="BB159" i="12"/>
  <c r="BA159" i="12"/>
  <c r="AZ159" i="12"/>
  <c r="BK158" i="12"/>
  <c r="BJ158" i="12"/>
  <c r="BI158" i="12"/>
  <c r="BH158" i="12"/>
  <c r="BG158" i="12"/>
  <c r="BF158" i="12"/>
  <c r="BE158" i="12"/>
  <c r="BD158" i="12"/>
  <c r="BC158" i="12"/>
  <c r="BB158" i="12"/>
  <c r="BA158" i="12"/>
  <c r="AZ158" i="12"/>
  <c r="BK156" i="12"/>
  <c r="BJ156" i="12"/>
  <c r="BI156" i="12"/>
  <c r="BH156" i="12"/>
  <c r="BG156" i="12"/>
  <c r="BE156" i="12"/>
  <c r="BD156" i="12"/>
  <c r="BC156" i="12"/>
  <c r="BB156" i="12"/>
  <c r="BA156" i="12"/>
  <c r="AZ156" i="12"/>
  <c r="BK154" i="12"/>
  <c r="BJ154" i="12"/>
  <c r="BI154" i="12"/>
  <c r="BH154" i="12"/>
  <c r="BG154" i="12"/>
  <c r="BF154" i="12"/>
  <c r="BE154" i="12"/>
  <c r="BD154" i="12"/>
  <c r="BC154" i="12"/>
  <c r="BB154" i="12"/>
  <c r="BA154" i="12"/>
  <c r="AZ154" i="12"/>
  <c r="BK149" i="12"/>
  <c r="BJ149" i="12"/>
  <c r="BH149" i="12"/>
  <c r="BF149" i="12"/>
  <c r="BE149" i="12"/>
  <c r="BD149" i="12"/>
  <c r="BC149" i="12"/>
  <c r="BB149" i="12"/>
  <c r="BA149" i="12"/>
  <c r="AZ149" i="12"/>
  <c r="BG148" i="12"/>
  <c r="BF148" i="12"/>
  <c r="BD148" i="12"/>
  <c r="BC148" i="12"/>
  <c r="BB148" i="12"/>
  <c r="BA148" i="12"/>
  <c r="AZ148" i="12"/>
  <c r="BH147" i="12"/>
  <c r="BF147" i="12"/>
  <c r="BD147" i="12"/>
  <c r="BC147" i="12"/>
  <c r="BB147" i="12"/>
  <c r="BA147" i="12"/>
  <c r="AZ147" i="12"/>
  <c r="BB146" i="12"/>
  <c r="BA146" i="12"/>
  <c r="AZ146" i="12"/>
  <c r="BK145" i="12"/>
  <c r="BJ145" i="12"/>
  <c r="BI145" i="12"/>
  <c r="BH145" i="12"/>
  <c r="BG145" i="12"/>
  <c r="BF145" i="12"/>
  <c r="BE145" i="12"/>
  <c r="BD145" i="12"/>
  <c r="BC145" i="12"/>
  <c r="BB145" i="12"/>
  <c r="BA145" i="12"/>
  <c r="AZ145" i="12"/>
  <c r="BK144" i="12"/>
  <c r="BJ144" i="12"/>
  <c r="BI144" i="12"/>
  <c r="BH144" i="12"/>
  <c r="BG144" i="12"/>
  <c r="BF144" i="12"/>
  <c r="BE144" i="12"/>
  <c r="BD144" i="12"/>
  <c r="BC144" i="12"/>
  <c r="BB144" i="12"/>
  <c r="BA144" i="12"/>
  <c r="AZ144" i="12"/>
  <c r="BK143" i="12"/>
  <c r="BJ143" i="12"/>
  <c r="BI143" i="12"/>
  <c r="BH143" i="12"/>
  <c r="BG143" i="12"/>
  <c r="BF143" i="12"/>
  <c r="BE143" i="12"/>
  <c r="BD143" i="12"/>
  <c r="BC143" i="12"/>
  <c r="BB143" i="12"/>
  <c r="BA143" i="12"/>
  <c r="AZ143" i="12"/>
  <c r="BK142" i="12"/>
  <c r="BJ142" i="12"/>
  <c r="BI142" i="12"/>
  <c r="BH142" i="12"/>
  <c r="BG142" i="12"/>
  <c r="BF142" i="12"/>
  <c r="BE142" i="12"/>
  <c r="BD142" i="12"/>
  <c r="BC142" i="12"/>
  <c r="BB142" i="12"/>
  <c r="BA142" i="12"/>
  <c r="AZ142" i="12"/>
  <c r="BK141" i="12"/>
  <c r="BJ141" i="12"/>
  <c r="BI141" i="12"/>
  <c r="BH141" i="12"/>
  <c r="BG141" i="12"/>
  <c r="BF141" i="12"/>
  <c r="BE141" i="12"/>
  <c r="BD141" i="12"/>
  <c r="BC141" i="12"/>
  <c r="BB141" i="12"/>
  <c r="BA141" i="12"/>
  <c r="AZ141" i="12"/>
  <c r="BK140" i="12"/>
  <c r="BJ140" i="12"/>
  <c r="BI140" i="12"/>
  <c r="BH140" i="12"/>
  <c r="BG140" i="12"/>
  <c r="BF140" i="12"/>
  <c r="BE140" i="12"/>
  <c r="BD140" i="12"/>
  <c r="BC140" i="12"/>
  <c r="BB140" i="12"/>
  <c r="BA140" i="12"/>
  <c r="AZ140" i="12"/>
  <c r="BK139" i="12"/>
  <c r="BJ139" i="12"/>
  <c r="BI139" i="12"/>
  <c r="BH139" i="12"/>
  <c r="BG139" i="12"/>
  <c r="BF139" i="12"/>
  <c r="BE139" i="12"/>
  <c r="BD139" i="12"/>
  <c r="BC139" i="12"/>
  <c r="BB139" i="12"/>
  <c r="BA139" i="12"/>
  <c r="AZ139" i="12"/>
  <c r="BK138" i="12"/>
  <c r="BJ138" i="12"/>
  <c r="BI138" i="12"/>
  <c r="BH138" i="12"/>
  <c r="BG138" i="12"/>
  <c r="BF138" i="12"/>
  <c r="BE138" i="12"/>
  <c r="BD138" i="12"/>
  <c r="BC138" i="12"/>
  <c r="BB138" i="12"/>
  <c r="BA138" i="12"/>
  <c r="AZ138" i="12"/>
  <c r="BK137" i="12"/>
  <c r="BJ137" i="12"/>
  <c r="BI137" i="12"/>
  <c r="BH137" i="12"/>
  <c r="BG137" i="12"/>
  <c r="BF137" i="12"/>
  <c r="BE137" i="12"/>
  <c r="BD137" i="12"/>
  <c r="BC137" i="12"/>
  <c r="BB137" i="12"/>
  <c r="BA137" i="12"/>
  <c r="AZ137" i="12"/>
  <c r="BK136" i="12"/>
  <c r="BJ136" i="12"/>
  <c r="BI136" i="12"/>
  <c r="BH136" i="12"/>
  <c r="BG136" i="12"/>
  <c r="BF136" i="12"/>
  <c r="BE136" i="12"/>
  <c r="BD136" i="12"/>
  <c r="BC136" i="12"/>
  <c r="BB136" i="12"/>
  <c r="BA136" i="12"/>
  <c r="AZ136" i="12"/>
  <c r="BK132" i="12"/>
  <c r="BJ132" i="12"/>
  <c r="BI132" i="12"/>
  <c r="BH132" i="12"/>
  <c r="BG132" i="12"/>
  <c r="BF132" i="12"/>
  <c r="BE132" i="12"/>
  <c r="BD132" i="12"/>
  <c r="BC132" i="12"/>
  <c r="BB132" i="12"/>
  <c r="BA132" i="12"/>
  <c r="AZ132" i="12"/>
  <c r="BK130" i="12"/>
  <c r="BJ130" i="12"/>
  <c r="BI130" i="12"/>
  <c r="BH130" i="12"/>
  <c r="BG130" i="12"/>
  <c r="BF130" i="12"/>
  <c r="BE130" i="12"/>
  <c r="BD130" i="12"/>
  <c r="BC130" i="12"/>
  <c r="BB130" i="12"/>
  <c r="BA130" i="12"/>
  <c r="AZ130" i="12"/>
  <c r="BK127" i="12"/>
  <c r="BJ127" i="12"/>
  <c r="BI127" i="12"/>
  <c r="BH127" i="12"/>
  <c r="BG127" i="12"/>
  <c r="BF127" i="12"/>
  <c r="BE127" i="12"/>
  <c r="BD127" i="12"/>
  <c r="BC127" i="12"/>
  <c r="BB127" i="12"/>
  <c r="BA127" i="12"/>
  <c r="AZ127" i="12"/>
  <c r="BK123" i="12"/>
  <c r="BJ123" i="12"/>
  <c r="BI123" i="12"/>
  <c r="BH123" i="12"/>
  <c r="BG123" i="12"/>
  <c r="BF123" i="12"/>
  <c r="BE123" i="12"/>
  <c r="BD123" i="12"/>
  <c r="BC123" i="12"/>
  <c r="BB123" i="12"/>
  <c r="BA123" i="12"/>
  <c r="AZ123" i="12"/>
  <c r="BK118" i="12"/>
  <c r="BJ118" i="12"/>
  <c r="BI118" i="12"/>
  <c r="BH118" i="12"/>
  <c r="BG118" i="12"/>
  <c r="BF118" i="12"/>
  <c r="BE118" i="12"/>
  <c r="BD118" i="12"/>
  <c r="BC118" i="12"/>
  <c r="BB118" i="12"/>
  <c r="BA118" i="12"/>
  <c r="AZ118" i="12"/>
  <c r="BK116" i="12"/>
  <c r="BJ116" i="12"/>
  <c r="BI116" i="12"/>
  <c r="BH116" i="12"/>
  <c r="BG116" i="12"/>
  <c r="BF116" i="12"/>
  <c r="BE116" i="12"/>
  <c r="BD116" i="12"/>
  <c r="BC116" i="12"/>
  <c r="BB116" i="12"/>
  <c r="BA116" i="12"/>
  <c r="AZ116" i="12"/>
  <c r="BK115" i="12"/>
  <c r="BJ115" i="12"/>
  <c r="BI115" i="12"/>
  <c r="BH115" i="12"/>
  <c r="BG115" i="12"/>
  <c r="BF115" i="12"/>
  <c r="BE115" i="12"/>
  <c r="BD115" i="12"/>
  <c r="BC115" i="12"/>
  <c r="BB115" i="12"/>
  <c r="BA115" i="12"/>
  <c r="AZ115" i="12"/>
  <c r="BK114" i="12"/>
  <c r="BJ114" i="12"/>
  <c r="BI114" i="12"/>
  <c r="BH114" i="12"/>
  <c r="BG114" i="12"/>
  <c r="BF114" i="12"/>
  <c r="BE114" i="12"/>
  <c r="BD114" i="12"/>
  <c r="BC114" i="12"/>
  <c r="BB114" i="12"/>
  <c r="BA114" i="12"/>
  <c r="AZ114" i="12"/>
  <c r="BK113" i="12"/>
  <c r="BJ113" i="12"/>
  <c r="BI113" i="12"/>
  <c r="BG113" i="12"/>
  <c r="BF113" i="12"/>
  <c r="BE113" i="12"/>
  <c r="BD113" i="12"/>
  <c r="BC113" i="12"/>
  <c r="BB113" i="12"/>
  <c r="BA113" i="12"/>
  <c r="AZ113" i="12"/>
  <c r="BK110" i="12"/>
  <c r="BJ110" i="12"/>
  <c r="BI110" i="12"/>
  <c r="BH110" i="12"/>
  <c r="BG110" i="12"/>
  <c r="BF110" i="12"/>
  <c r="BK109" i="12"/>
  <c r="BJ109" i="12"/>
  <c r="BI109" i="12"/>
  <c r="BH109" i="12"/>
  <c r="BG109" i="12"/>
  <c r="BF109" i="12"/>
  <c r="BE109" i="12"/>
  <c r="BD109" i="12"/>
  <c r="BC109" i="12"/>
  <c r="BB109" i="12"/>
  <c r="BA109" i="12"/>
  <c r="AZ109" i="12"/>
  <c r="BK108" i="12"/>
  <c r="BJ108" i="12"/>
  <c r="BI108" i="12"/>
  <c r="BH108" i="12"/>
  <c r="BG108" i="12"/>
  <c r="BF108" i="12"/>
  <c r="BB108" i="12"/>
  <c r="BA108" i="12"/>
  <c r="AZ108" i="12"/>
  <c r="BK107" i="12"/>
  <c r="BJ107" i="12"/>
  <c r="BI107" i="12"/>
  <c r="BH107" i="12"/>
  <c r="BG107" i="12"/>
  <c r="BF107" i="12"/>
  <c r="BE107" i="12"/>
  <c r="BD107" i="12"/>
  <c r="BC107" i="12"/>
  <c r="BB107" i="12"/>
  <c r="BA107" i="12"/>
  <c r="AZ107" i="12"/>
  <c r="BK106" i="12"/>
  <c r="BJ106" i="12"/>
  <c r="BI106" i="12"/>
  <c r="BH106" i="12"/>
  <c r="BG106" i="12"/>
  <c r="BF106" i="12"/>
  <c r="BE106" i="12"/>
  <c r="BD106" i="12"/>
  <c r="BC106" i="12"/>
  <c r="BB106" i="12"/>
  <c r="BA106" i="12"/>
  <c r="AZ106" i="12"/>
  <c r="BK105" i="12"/>
  <c r="BJ105" i="12"/>
  <c r="BI105" i="12"/>
  <c r="BH105" i="12"/>
  <c r="BF105" i="12"/>
  <c r="BD105" i="12"/>
  <c r="BC105" i="12"/>
  <c r="BB105" i="12"/>
  <c r="BA105" i="12"/>
  <c r="AZ105" i="12"/>
  <c r="BK102" i="12"/>
  <c r="BA102" i="12"/>
  <c r="AZ102" i="12"/>
  <c r="BK101" i="12"/>
  <c r="BJ101" i="12"/>
  <c r="BI101" i="12"/>
  <c r="BH101" i="12"/>
  <c r="BG101" i="12"/>
  <c r="BF101" i="12"/>
  <c r="BE101" i="12"/>
  <c r="BD101" i="12"/>
  <c r="BC101" i="12"/>
  <c r="BB101" i="12"/>
  <c r="AZ101" i="12"/>
  <c r="BK99" i="12"/>
  <c r="BJ99" i="12"/>
  <c r="BI99" i="12"/>
  <c r="BK98" i="12"/>
  <c r="BJ98" i="12"/>
  <c r="BI98" i="12"/>
  <c r="BH98" i="12"/>
  <c r="BG98" i="12"/>
  <c r="BF98" i="12"/>
  <c r="BE98" i="12"/>
  <c r="BD98" i="12"/>
  <c r="BC98" i="12"/>
  <c r="BB98" i="12"/>
  <c r="BA98" i="12"/>
  <c r="AZ98" i="12"/>
  <c r="BK97" i="12"/>
  <c r="BJ97" i="12"/>
  <c r="BI97" i="12"/>
  <c r="BH97" i="12"/>
  <c r="BG97" i="12"/>
  <c r="BF97" i="12"/>
  <c r="BE97" i="12"/>
  <c r="BD97" i="12"/>
  <c r="BC97" i="12"/>
  <c r="BB97" i="12"/>
  <c r="BA97" i="12"/>
  <c r="AZ97" i="12"/>
  <c r="BK96" i="12"/>
  <c r="BJ96" i="12"/>
  <c r="BI96" i="12"/>
  <c r="BH96" i="12"/>
  <c r="BG96" i="12"/>
  <c r="BF96" i="12"/>
  <c r="BE96" i="12"/>
  <c r="BK94" i="12"/>
  <c r="BJ94" i="12"/>
  <c r="BI94" i="12"/>
  <c r="BG94" i="12"/>
  <c r="BF94" i="12"/>
  <c r="BE94" i="12"/>
  <c r="BB94" i="12"/>
  <c r="BA94" i="12"/>
  <c r="BK93" i="12"/>
  <c r="BJ93" i="12"/>
  <c r="BI93" i="12"/>
  <c r="BH93" i="12"/>
  <c r="BG93" i="12"/>
  <c r="BF93" i="12"/>
  <c r="BE93" i="12"/>
  <c r="BD93" i="12"/>
  <c r="BC93" i="12"/>
  <c r="BB93" i="12"/>
  <c r="BA93" i="12"/>
  <c r="AZ93" i="12"/>
  <c r="BJ92" i="12"/>
  <c r="BI92" i="12"/>
  <c r="BH92" i="12"/>
  <c r="BG92" i="12"/>
  <c r="BF92" i="12"/>
  <c r="BE92" i="12"/>
  <c r="BD92" i="12"/>
  <c r="BC92" i="12"/>
  <c r="BB92" i="12"/>
  <c r="BA92" i="12"/>
  <c r="AZ92" i="12"/>
  <c r="BK90" i="12"/>
  <c r="BJ90" i="12"/>
  <c r="BI90" i="12"/>
  <c r="BH90" i="12"/>
  <c r="BG90" i="12"/>
  <c r="BF90" i="12"/>
  <c r="BE90" i="12"/>
  <c r="BD90" i="12"/>
  <c r="BC90" i="12"/>
  <c r="BB90" i="12"/>
  <c r="BA90" i="12"/>
  <c r="AZ90" i="12"/>
  <c r="BK84" i="12"/>
  <c r="BJ84" i="12"/>
  <c r="BH84" i="12"/>
  <c r="BG84" i="12"/>
  <c r="BF84" i="12"/>
  <c r="BE84" i="12"/>
  <c r="BD84" i="12"/>
  <c r="BC84" i="12"/>
  <c r="BA84" i="12"/>
  <c r="AZ84" i="12"/>
  <c r="BC83" i="12"/>
  <c r="BB83" i="12"/>
  <c r="BG78" i="12"/>
  <c r="BF78" i="12"/>
  <c r="BE78" i="12"/>
  <c r="BD78" i="12"/>
  <c r="BC78" i="12"/>
  <c r="BB78" i="12"/>
  <c r="BA78" i="12"/>
  <c r="AZ78" i="12"/>
  <c r="BG77" i="12"/>
  <c r="BE77" i="12"/>
  <c r="BD77" i="12"/>
  <c r="BC77" i="12"/>
  <c r="BB77" i="12"/>
  <c r="BA77" i="12"/>
  <c r="AZ77" i="12"/>
  <c r="BK75" i="12"/>
  <c r="BJ75" i="12"/>
  <c r="BI75" i="12"/>
  <c r="BH75" i="12"/>
  <c r="BF75" i="12"/>
  <c r="BE75" i="12"/>
  <c r="BD75" i="12"/>
  <c r="BC75" i="12"/>
  <c r="BB75" i="12"/>
  <c r="BA75" i="12"/>
  <c r="AZ75" i="12"/>
  <c r="BK74" i="12"/>
  <c r="BJ74" i="12"/>
  <c r="BI74" i="12"/>
  <c r="BH74" i="12"/>
  <c r="BG74" i="12"/>
  <c r="BF74" i="12"/>
  <c r="BE74" i="12"/>
  <c r="BD74" i="12"/>
  <c r="BC74" i="12"/>
  <c r="BB74" i="12"/>
  <c r="BA74" i="12"/>
  <c r="AZ74" i="12"/>
  <c r="BJ72" i="12"/>
  <c r="BI72" i="12"/>
  <c r="BH72" i="12"/>
  <c r="BG72" i="12"/>
  <c r="BF72" i="12"/>
  <c r="BE72" i="12"/>
  <c r="BD72" i="12"/>
  <c r="BC72" i="12"/>
  <c r="BB72" i="12"/>
  <c r="BA72" i="12"/>
  <c r="AZ72" i="12"/>
  <c r="BK70" i="12"/>
  <c r="BJ70" i="12"/>
  <c r="BI70" i="12"/>
  <c r="BH70" i="12"/>
  <c r="BG70" i="12"/>
  <c r="BF70" i="12"/>
  <c r="BE70" i="12"/>
  <c r="BD70" i="12"/>
  <c r="BC70" i="12"/>
  <c r="BB70" i="12"/>
  <c r="BA70" i="12"/>
  <c r="AZ70" i="12"/>
  <c r="BK68" i="12"/>
  <c r="BJ68" i="12"/>
  <c r="BI68" i="12"/>
  <c r="BH68" i="12"/>
  <c r="BG68" i="12"/>
  <c r="BF68" i="12"/>
  <c r="BE68" i="12"/>
  <c r="BD68" i="12"/>
  <c r="BC68" i="12"/>
  <c r="BB68" i="12"/>
  <c r="BA68" i="12"/>
  <c r="AZ68" i="12"/>
  <c r="BG65" i="12"/>
  <c r="BD65" i="12"/>
  <c r="BK64" i="12"/>
  <c r="BJ64" i="12"/>
  <c r="BI64" i="12"/>
  <c r="BH64" i="12"/>
  <c r="BK63" i="12"/>
  <c r="BJ63" i="12"/>
  <c r="BI63" i="12"/>
  <c r="BH63" i="12"/>
  <c r="BG63" i="12"/>
  <c r="BF63" i="12"/>
  <c r="BE63" i="12"/>
  <c r="BD63" i="12"/>
  <c r="BC63" i="12"/>
  <c r="BK62" i="12"/>
  <c r="BI62" i="12"/>
  <c r="BH62" i="12"/>
  <c r="BG62" i="12"/>
  <c r="BE62" i="12"/>
  <c r="BD62" i="12"/>
  <c r="BC62" i="12"/>
  <c r="BB62" i="12"/>
  <c r="BA62" i="12"/>
  <c r="AZ62" i="12"/>
  <c r="BK61" i="12"/>
  <c r="BJ61" i="12"/>
  <c r="BI61" i="12"/>
  <c r="BH61" i="12"/>
  <c r="BG61" i="12"/>
  <c r="BF61" i="12"/>
  <c r="BE61" i="12"/>
  <c r="BD61" i="12"/>
  <c r="BC61" i="12"/>
  <c r="BB61" i="12"/>
  <c r="BA61" i="12"/>
  <c r="AZ61" i="12"/>
  <c r="BK60" i="12"/>
  <c r="BK56" i="12"/>
  <c r="BJ56" i="12"/>
  <c r="BI56" i="12"/>
  <c r="BH56" i="12"/>
  <c r="BG56" i="12"/>
  <c r="BF56" i="12"/>
  <c r="BE56" i="12"/>
  <c r="BD56" i="12"/>
  <c r="BC56" i="12"/>
  <c r="BB56" i="12"/>
  <c r="BA56" i="12"/>
  <c r="AZ56" i="12"/>
  <c r="BK55" i="12"/>
  <c r="BJ55" i="12"/>
  <c r="BI55" i="12"/>
  <c r="BH55" i="12"/>
  <c r="BG55" i="12"/>
  <c r="BC55" i="12"/>
  <c r="AZ55" i="12"/>
  <c r="BK54" i="12"/>
  <c r="BJ54" i="12"/>
  <c r="BI54" i="12"/>
  <c r="BH54" i="12"/>
  <c r="BE54" i="12"/>
  <c r="BD54" i="12"/>
  <c r="BB54" i="12"/>
  <c r="BA54" i="12"/>
  <c r="AZ54" i="12"/>
  <c r="BF53" i="12"/>
  <c r="BE53" i="12"/>
  <c r="BD53" i="12"/>
  <c r="BC53" i="12"/>
  <c r="BK52" i="12"/>
  <c r="BJ52" i="12"/>
  <c r="BI52" i="12"/>
  <c r="BH52" i="12"/>
  <c r="BG52" i="12"/>
  <c r="BF52" i="12"/>
  <c r="BE52" i="12"/>
  <c r="BD52" i="12"/>
  <c r="BC52" i="12"/>
  <c r="BB52" i="12"/>
  <c r="BA52" i="12"/>
  <c r="AZ52" i="12"/>
  <c r="BK51" i="12"/>
  <c r="BJ51" i="12"/>
  <c r="BI51" i="12"/>
  <c r="BH51" i="12"/>
  <c r="BG51" i="12"/>
  <c r="BF51" i="12"/>
  <c r="BE51" i="12"/>
  <c r="BD51" i="12"/>
  <c r="BC51" i="12"/>
  <c r="BB51" i="12"/>
  <c r="BA51" i="12"/>
  <c r="AZ51" i="12"/>
  <c r="BK50" i="12"/>
  <c r="BJ50" i="12"/>
  <c r="BI50" i="12"/>
  <c r="BH50" i="12"/>
  <c r="BG50" i="12"/>
  <c r="BF50" i="12"/>
  <c r="BE50" i="12"/>
  <c r="BD50" i="12"/>
  <c r="BC50" i="12"/>
  <c r="BB50" i="12"/>
  <c r="BA50" i="12"/>
  <c r="AZ50" i="12"/>
  <c r="BK45" i="12"/>
  <c r="BJ45" i="12"/>
  <c r="BI45" i="12"/>
  <c r="BH45" i="12"/>
  <c r="BG45" i="12"/>
  <c r="BF45" i="12"/>
  <c r="BE45" i="12"/>
  <c r="BD45" i="12"/>
  <c r="BC45" i="12"/>
  <c r="BB45" i="12"/>
  <c r="BA45" i="12"/>
  <c r="AZ45" i="12"/>
  <c r="BK40" i="12"/>
  <c r="BJ40" i="12"/>
  <c r="BI40" i="12"/>
  <c r="BH40" i="12"/>
  <c r="BG40" i="12"/>
  <c r="BF40" i="12"/>
  <c r="BE40" i="12"/>
  <c r="BD40" i="12"/>
  <c r="BC40" i="12"/>
  <c r="BB40" i="12"/>
  <c r="BA40" i="12"/>
  <c r="AZ40" i="12"/>
  <c r="BK36" i="12"/>
  <c r="BJ36" i="12"/>
  <c r="BI35" i="12"/>
  <c r="BH35" i="12"/>
  <c r="BG35" i="12"/>
  <c r="BF35" i="12"/>
  <c r="BE35" i="12"/>
  <c r="BD35" i="12"/>
  <c r="BC35" i="12"/>
  <c r="BB35" i="12"/>
  <c r="BA35" i="12"/>
  <c r="AZ35" i="12"/>
  <c r="BK32" i="12"/>
  <c r="BJ32" i="12"/>
  <c r="BI32" i="12"/>
  <c r="BH32" i="12"/>
  <c r="BG32" i="12"/>
  <c r="BF32" i="12"/>
  <c r="BE32" i="12"/>
  <c r="BD32" i="12"/>
  <c r="BC32" i="12"/>
  <c r="BB32" i="12"/>
  <c r="BA32" i="12"/>
  <c r="AZ32" i="12"/>
  <c r="BK28" i="12"/>
  <c r="BJ28" i="12"/>
  <c r="BI28" i="12"/>
  <c r="BH28" i="12"/>
  <c r="BG28" i="12"/>
  <c r="BF28" i="12"/>
  <c r="BE28" i="12"/>
  <c r="BD28" i="12"/>
  <c r="BC28" i="12"/>
  <c r="BB28" i="12"/>
  <c r="BA28" i="12"/>
  <c r="AZ28" i="12"/>
  <c r="AY164" i="12"/>
  <c r="AX164" i="12"/>
  <c r="AW164" i="12"/>
  <c r="AV164" i="12"/>
  <c r="AU164" i="12"/>
  <c r="AT164" i="12"/>
  <c r="AS164" i="12"/>
  <c r="AR164" i="12"/>
  <c r="AQ164" i="12"/>
  <c r="AP164" i="12"/>
  <c r="AO164" i="12"/>
  <c r="AN164" i="12"/>
  <c r="AY163" i="12"/>
  <c r="AX163" i="12"/>
  <c r="AW163" i="12"/>
  <c r="AV163" i="12"/>
  <c r="AU163" i="12"/>
  <c r="AT163" i="12"/>
  <c r="AS163" i="12"/>
  <c r="AR163" i="12"/>
  <c r="AQ163" i="12"/>
  <c r="AP163" i="12"/>
  <c r="AO163" i="12"/>
  <c r="AN163" i="12"/>
  <c r="AY162" i="12"/>
  <c r="AX162" i="12"/>
  <c r="AW162" i="12"/>
  <c r="AV162" i="12"/>
  <c r="AU162" i="12"/>
  <c r="AT162" i="12"/>
  <c r="AS162" i="12"/>
  <c r="AR162" i="12"/>
  <c r="AQ162" i="12"/>
  <c r="AP162" i="12"/>
  <c r="AO162" i="12"/>
  <c r="AN162" i="12"/>
  <c r="AY161" i="12"/>
  <c r="AX161" i="12"/>
  <c r="AW161" i="12"/>
  <c r="AV161" i="12"/>
  <c r="AU161" i="12"/>
  <c r="AT161" i="12"/>
  <c r="AS161" i="12"/>
  <c r="AR161" i="12"/>
  <c r="AQ161" i="12"/>
  <c r="AP161" i="12"/>
  <c r="AO161" i="12"/>
  <c r="AN161" i="12"/>
  <c r="AY160" i="12"/>
  <c r="AX160" i="12"/>
  <c r="AW160" i="12"/>
  <c r="AV160" i="12"/>
  <c r="AU160" i="12"/>
  <c r="AT160" i="12"/>
  <c r="AS160" i="12"/>
  <c r="AR160" i="12"/>
  <c r="AQ160" i="12"/>
  <c r="AP160" i="12"/>
  <c r="AO160" i="12"/>
  <c r="AN160" i="12"/>
  <c r="AY159" i="12"/>
  <c r="AX159" i="12"/>
  <c r="AW159" i="12"/>
  <c r="AV159" i="12"/>
  <c r="AU159" i="12"/>
  <c r="AT159" i="12"/>
  <c r="AS159" i="12"/>
  <c r="AR159" i="12"/>
  <c r="AQ159" i="12"/>
  <c r="AP159" i="12"/>
  <c r="AO159" i="12"/>
  <c r="AN159" i="12"/>
  <c r="AY158" i="12"/>
  <c r="AX158" i="12"/>
  <c r="AW158" i="12"/>
  <c r="AV158" i="12"/>
  <c r="AU158" i="12"/>
  <c r="AT158" i="12"/>
  <c r="AS158" i="12"/>
  <c r="AR158" i="12"/>
  <c r="AQ158" i="12"/>
  <c r="AP158" i="12"/>
  <c r="AO158" i="12"/>
  <c r="AN158" i="12"/>
  <c r="AY156" i="12"/>
  <c r="AX156" i="12"/>
  <c r="AW156" i="12"/>
  <c r="AV156" i="12"/>
  <c r="AU156" i="12"/>
  <c r="AT156" i="12"/>
  <c r="AS156" i="12"/>
  <c r="AR156" i="12"/>
  <c r="AQ156" i="12"/>
  <c r="AP156" i="12"/>
  <c r="AO156" i="12"/>
  <c r="AN156" i="12"/>
  <c r="AY154" i="12"/>
  <c r="AX154" i="12"/>
  <c r="AW154" i="12"/>
  <c r="AV154" i="12"/>
  <c r="AU154" i="12"/>
  <c r="AT154" i="12"/>
  <c r="AS154" i="12"/>
  <c r="AR154" i="12"/>
  <c r="AQ154" i="12"/>
  <c r="AP154" i="12"/>
  <c r="AO154" i="12"/>
  <c r="AN154" i="12"/>
  <c r="AY149" i="12"/>
  <c r="AX149" i="12"/>
  <c r="AW149" i="12"/>
  <c r="AV149" i="12"/>
  <c r="AU149" i="12"/>
  <c r="AT149" i="12"/>
  <c r="AS149" i="12"/>
  <c r="AR149" i="12"/>
  <c r="AQ149" i="12"/>
  <c r="AP149" i="12"/>
  <c r="AO149" i="12"/>
  <c r="AN149" i="12"/>
  <c r="AY148" i="12"/>
  <c r="AX148" i="12"/>
  <c r="AW148" i="12"/>
  <c r="AV148" i="12"/>
  <c r="AU148" i="12"/>
  <c r="AT148" i="12"/>
  <c r="AS148" i="12"/>
  <c r="AR148" i="12"/>
  <c r="AQ148" i="12"/>
  <c r="AP148" i="12"/>
  <c r="AO148" i="12"/>
  <c r="AN148" i="12"/>
  <c r="AY147" i="12"/>
  <c r="AX147" i="12"/>
  <c r="AW147" i="12"/>
  <c r="AU147" i="12"/>
  <c r="AS147" i="12"/>
  <c r="AR147" i="12"/>
  <c r="AQ147" i="12"/>
  <c r="AP147" i="12"/>
  <c r="AO147" i="12"/>
  <c r="AN147" i="12"/>
  <c r="AY146" i="12"/>
  <c r="AX146" i="12"/>
  <c r="AW146" i="12"/>
  <c r="AV146" i="12"/>
  <c r="AU146" i="12"/>
  <c r="AT146" i="12"/>
  <c r="AS146" i="12"/>
  <c r="AR146" i="12"/>
  <c r="AQ146" i="12"/>
  <c r="AP146" i="12"/>
  <c r="AO146" i="12"/>
  <c r="AN146" i="12"/>
  <c r="AY145" i="12"/>
  <c r="AX145" i="12"/>
  <c r="AV145" i="12"/>
  <c r="AU145" i="12"/>
  <c r="AT145" i="12"/>
  <c r="AS145" i="12"/>
  <c r="AR145" i="12"/>
  <c r="AQ145" i="12"/>
  <c r="AP145" i="12"/>
  <c r="AO145" i="12"/>
  <c r="AN145" i="12"/>
  <c r="AY144" i="12"/>
  <c r="AX144" i="12"/>
  <c r="AW144" i="12"/>
  <c r="AV144" i="12"/>
  <c r="AU144" i="12"/>
  <c r="AT144" i="12"/>
  <c r="AS144" i="12"/>
  <c r="AR144" i="12"/>
  <c r="AQ144" i="12"/>
  <c r="AP144" i="12"/>
  <c r="AO144" i="12"/>
  <c r="AN144" i="12"/>
  <c r="AY143" i="12"/>
  <c r="AX143" i="12"/>
  <c r="AW143" i="12"/>
  <c r="AV143" i="12"/>
  <c r="AU143" i="12"/>
  <c r="AT143" i="12"/>
  <c r="AS143" i="12"/>
  <c r="AR143" i="12"/>
  <c r="AQ143" i="12"/>
  <c r="AP143" i="12"/>
  <c r="AO143" i="12"/>
  <c r="AN143" i="12"/>
  <c r="AY142" i="12"/>
  <c r="AX142" i="12"/>
  <c r="AW142" i="12"/>
  <c r="AV142" i="12"/>
  <c r="AU142" i="12"/>
  <c r="AT142" i="12"/>
  <c r="AS142" i="12"/>
  <c r="AR142" i="12"/>
  <c r="AQ142" i="12"/>
  <c r="AP142" i="12"/>
  <c r="AO142" i="12"/>
  <c r="AN142" i="12"/>
  <c r="AY141" i="12"/>
  <c r="AX141" i="12"/>
  <c r="AW141" i="12"/>
  <c r="AV141" i="12"/>
  <c r="AU141" i="12"/>
  <c r="AT141" i="12"/>
  <c r="AS141" i="12"/>
  <c r="AR141" i="12"/>
  <c r="AQ141" i="12"/>
  <c r="AP141" i="12"/>
  <c r="AO141" i="12"/>
  <c r="AN141" i="12"/>
  <c r="AY140" i="12"/>
  <c r="AX140" i="12"/>
  <c r="AW140" i="12"/>
  <c r="AV140" i="12"/>
  <c r="AU140" i="12"/>
  <c r="AT140" i="12"/>
  <c r="AS140" i="12"/>
  <c r="AR140" i="12"/>
  <c r="AQ140" i="12"/>
  <c r="AP140" i="12"/>
  <c r="AO140" i="12"/>
  <c r="AN140" i="12"/>
  <c r="AY139" i="12"/>
  <c r="AX139" i="12"/>
  <c r="AW139" i="12"/>
  <c r="AV139" i="12"/>
  <c r="AU139" i="12"/>
  <c r="AT139" i="12"/>
  <c r="AS139" i="12"/>
  <c r="AR139" i="12"/>
  <c r="AQ139" i="12"/>
  <c r="AP139" i="12"/>
  <c r="AO139" i="12"/>
  <c r="AN139" i="12"/>
  <c r="AY138" i="12"/>
  <c r="AX138" i="12"/>
  <c r="AW138" i="12"/>
  <c r="AV138" i="12"/>
  <c r="AU138" i="12"/>
  <c r="AT138" i="12"/>
  <c r="AS138" i="12"/>
  <c r="AR138" i="12"/>
  <c r="AQ138" i="12"/>
  <c r="AP138" i="12"/>
  <c r="AO138" i="12"/>
  <c r="AN138" i="12"/>
  <c r="AY137" i="12"/>
  <c r="AX137" i="12"/>
  <c r="AW137" i="12"/>
  <c r="AV137" i="12"/>
  <c r="AU137" i="12"/>
  <c r="AT137" i="12"/>
  <c r="AS137" i="12"/>
  <c r="AR137" i="12"/>
  <c r="AQ137" i="12"/>
  <c r="AP137" i="12"/>
  <c r="AO137" i="12"/>
  <c r="AN137" i="12"/>
  <c r="AY136" i="12"/>
  <c r="AX136" i="12"/>
  <c r="AW136" i="12"/>
  <c r="AV136" i="12"/>
  <c r="AU136" i="12"/>
  <c r="AT136" i="12"/>
  <c r="AS136" i="12"/>
  <c r="AR136" i="12"/>
  <c r="AQ136" i="12"/>
  <c r="AP136" i="12"/>
  <c r="AO136" i="12"/>
  <c r="AN136" i="12"/>
  <c r="AY132" i="12"/>
  <c r="AX132" i="12"/>
  <c r="AW132" i="12"/>
  <c r="AV132" i="12"/>
  <c r="AU132" i="12"/>
  <c r="AT132" i="12"/>
  <c r="AS132" i="12"/>
  <c r="AR132" i="12"/>
  <c r="AQ132" i="12"/>
  <c r="AP132" i="12"/>
  <c r="AO132" i="12"/>
  <c r="AN132" i="12"/>
  <c r="AY130" i="12"/>
  <c r="AX130" i="12"/>
  <c r="AW130" i="12"/>
  <c r="AV130" i="12"/>
  <c r="AU130" i="12"/>
  <c r="AT130" i="12"/>
  <c r="AS130" i="12"/>
  <c r="AR130" i="12"/>
  <c r="AQ130" i="12"/>
  <c r="AP130" i="12"/>
  <c r="AO130" i="12"/>
  <c r="AN130" i="12"/>
  <c r="AY127" i="12"/>
  <c r="AX127" i="12"/>
  <c r="AW127" i="12"/>
  <c r="AV127" i="12"/>
  <c r="AU127" i="12"/>
  <c r="AT127" i="12"/>
  <c r="AS127" i="12"/>
  <c r="AR127" i="12"/>
  <c r="AQ127" i="12"/>
  <c r="AP127" i="12"/>
  <c r="AO127" i="12"/>
  <c r="AN127" i="12"/>
  <c r="AS125" i="12"/>
  <c r="AR125" i="12"/>
  <c r="AQ125" i="12"/>
  <c r="AP125" i="12"/>
  <c r="AO125" i="12"/>
  <c r="AN125" i="12"/>
  <c r="AY123" i="12"/>
  <c r="AX123" i="12"/>
  <c r="AW123" i="12"/>
  <c r="AV123" i="12"/>
  <c r="AU123" i="12"/>
  <c r="AT123" i="12"/>
  <c r="AU122" i="12"/>
  <c r="AT122" i="12"/>
  <c r="AS122" i="12"/>
  <c r="AR122" i="12"/>
  <c r="AQ122" i="12"/>
  <c r="AP122" i="12"/>
  <c r="AO122" i="12"/>
  <c r="AN122" i="12"/>
  <c r="AY118" i="12"/>
  <c r="AX118" i="12"/>
  <c r="AW118" i="12"/>
  <c r="AV118" i="12"/>
  <c r="AU118" i="12"/>
  <c r="AT118" i="12"/>
  <c r="AS118" i="12"/>
  <c r="AR118" i="12"/>
  <c r="AQ118" i="12"/>
  <c r="AP118" i="12"/>
  <c r="AO118" i="12"/>
  <c r="AN118" i="12"/>
  <c r="AY116" i="12"/>
  <c r="AX116" i="12"/>
  <c r="AW116" i="12"/>
  <c r="AV116" i="12"/>
  <c r="AU116" i="12"/>
  <c r="AT116" i="12"/>
  <c r="AS116" i="12"/>
  <c r="AR116" i="12"/>
  <c r="AQ116" i="12"/>
  <c r="AP116" i="12"/>
  <c r="AO116" i="12"/>
  <c r="AN116" i="12"/>
  <c r="AY115" i="12"/>
  <c r="AX115" i="12"/>
  <c r="AW115" i="12"/>
  <c r="AV115" i="12"/>
  <c r="AU115" i="12"/>
  <c r="AT115" i="12"/>
  <c r="AS115" i="12"/>
  <c r="AR115" i="12"/>
  <c r="AQ115" i="12"/>
  <c r="AP115" i="12"/>
  <c r="AO115" i="12"/>
  <c r="AN115" i="12"/>
  <c r="AY114" i="12"/>
  <c r="AX114" i="12"/>
  <c r="AW114" i="12"/>
  <c r="AV114" i="12"/>
  <c r="AU114" i="12"/>
  <c r="AT114" i="12"/>
  <c r="AS114" i="12"/>
  <c r="AR114" i="12"/>
  <c r="AQ114" i="12"/>
  <c r="AP114" i="12"/>
  <c r="AO114" i="12"/>
  <c r="AN114" i="12"/>
  <c r="AY113" i="12"/>
  <c r="AX113" i="12"/>
  <c r="AW113" i="12"/>
  <c r="AV113" i="12"/>
  <c r="AU113" i="12"/>
  <c r="AT113" i="12"/>
  <c r="AS113" i="12"/>
  <c r="AR113" i="12"/>
  <c r="AQ113" i="12"/>
  <c r="AP113" i="12"/>
  <c r="AO113" i="12"/>
  <c r="AN113" i="12"/>
  <c r="AY109" i="12"/>
  <c r="AX109" i="12"/>
  <c r="AW109" i="12"/>
  <c r="AV109" i="12"/>
  <c r="AU109" i="12"/>
  <c r="AT109" i="12"/>
  <c r="AR109" i="12"/>
  <c r="AP109" i="12"/>
  <c r="AO109" i="12"/>
  <c r="AN109" i="12"/>
  <c r="AY108" i="12"/>
  <c r="AX108" i="12"/>
  <c r="AW108" i="12"/>
  <c r="AV108" i="12"/>
  <c r="AU108" i="12"/>
  <c r="AT108" i="12"/>
  <c r="AR108" i="12"/>
  <c r="AQ108" i="12"/>
  <c r="AP108" i="12"/>
  <c r="AO108" i="12"/>
  <c r="AN108" i="12"/>
  <c r="AY107" i="12"/>
  <c r="AX107" i="12"/>
  <c r="AW107" i="12"/>
  <c r="AV107" i="12"/>
  <c r="AU107" i="12"/>
  <c r="AT107" i="12"/>
  <c r="AS107" i="12"/>
  <c r="AR107" i="12"/>
  <c r="AQ107" i="12"/>
  <c r="AP107" i="12"/>
  <c r="AO107" i="12"/>
  <c r="AN107" i="12"/>
  <c r="AY106" i="12"/>
  <c r="AX106" i="12"/>
  <c r="AW106" i="12"/>
  <c r="AV106" i="12"/>
  <c r="AU106" i="12"/>
  <c r="AT106" i="12"/>
  <c r="AS106" i="12"/>
  <c r="AR106" i="12"/>
  <c r="AQ106" i="12"/>
  <c r="AP106" i="12"/>
  <c r="AO106" i="12"/>
  <c r="AN106" i="12"/>
  <c r="AX105" i="12"/>
  <c r="AY102" i="12"/>
  <c r="AX102" i="12"/>
  <c r="AW102" i="12"/>
  <c r="AV102" i="12"/>
  <c r="AU102" i="12"/>
  <c r="AT102" i="12"/>
  <c r="AS102" i="12"/>
  <c r="AR102" i="12"/>
  <c r="AQ102" i="12"/>
  <c r="AP102" i="12"/>
  <c r="AO102" i="12"/>
  <c r="AN102" i="12"/>
  <c r="AY101" i="12"/>
  <c r="AW101" i="12"/>
  <c r="AO101" i="12"/>
  <c r="AY98" i="12"/>
  <c r="AX98" i="12"/>
  <c r="AW98" i="12"/>
  <c r="AV98" i="12"/>
  <c r="AU98" i="12"/>
  <c r="AT98" i="12"/>
  <c r="AS98" i="12"/>
  <c r="AR98" i="12"/>
  <c r="AQ98" i="12"/>
  <c r="AP98" i="12"/>
  <c r="AO98" i="12"/>
  <c r="AN98" i="12"/>
  <c r="AY97" i="12"/>
  <c r="AX97" i="12"/>
  <c r="AW97" i="12"/>
  <c r="AV97" i="12"/>
  <c r="AU97" i="12"/>
  <c r="AT97" i="12"/>
  <c r="AS97" i="12"/>
  <c r="AR97" i="12"/>
  <c r="AQ97" i="12"/>
  <c r="AP97" i="12"/>
  <c r="AO97" i="12"/>
  <c r="AN97" i="12"/>
  <c r="AS96" i="12"/>
  <c r="AR96" i="12"/>
  <c r="AQ96" i="12"/>
  <c r="AP96" i="12"/>
  <c r="AO96" i="12"/>
  <c r="AN96" i="12"/>
  <c r="AY94" i="12"/>
  <c r="AX94" i="12"/>
  <c r="AW94" i="12"/>
  <c r="AU94" i="12"/>
  <c r="AT94" i="12"/>
  <c r="AS94" i="12"/>
  <c r="AR94" i="12"/>
  <c r="AQ94" i="12"/>
  <c r="AP94" i="12"/>
  <c r="AO94" i="12"/>
  <c r="AN94" i="12"/>
  <c r="AY93" i="12"/>
  <c r="AX93" i="12"/>
  <c r="AW93" i="12"/>
  <c r="AV93" i="12"/>
  <c r="AU93" i="12"/>
  <c r="AT93" i="12"/>
  <c r="AS93" i="12"/>
  <c r="AR93" i="12"/>
  <c r="AQ93" i="12"/>
  <c r="AP93" i="12"/>
  <c r="AO93" i="12"/>
  <c r="AN93" i="12"/>
  <c r="AY92" i="12"/>
  <c r="AX92" i="12"/>
  <c r="AW92" i="12"/>
  <c r="AV92" i="12"/>
  <c r="AU92" i="12"/>
  <c r="AT92" i="12"/>
  <c r="AS92" i="12"/>
  <c r="AR92" i="12"/>
  <c r="AQ92" i="12"/>
  <c r="AP92" i="12"/>
  <c r="AO92" i="12"/>
  <c r="AN92" i="12"/>
  <c r="AY90" i="12"/>
  <c r="AX90" i="12"/>
  <c r="AW90" i="12"/>
  <c r="AV90" i="12"/>
  <c r="AU90" i="12"/>
  <c r="AT90" i="12"/>
  <c r="AS90" i="12"/>
  <c r="AR90" i="12"/>
  <c r="AQ90" i="12"/>
  <c r="AP90" i="12"/>
  <c r="AO90" i="12"/>
  <c r="AN90" i="12"/>
  <c r="AS85" i="12"/>
  <c r="AO85" i="12"/>
  <c r="AY84" i="12"/>
  <c r="AX84" i="12"/>
  <c r="AW84" i="12"/>
  <c r="AU84" i="12"/>
  <c r="AT84" i="12"/>
  <c r="AS84" i="12"/>
  <c r="AQ84" i="12"/>
  <c r="AP84" i="12"/>
  <c r="AO84" i="12"/>
  <c r="AN84" i="12"/>
  <c r="AY83" i="12"/>
  <c r="AV83" i="12"/>
  <c r="AU83" i="12"/>
  <c r="AT83" i="12"/>
  <c r="AS83" i="12"/>
  <c r="AR83" i="12"/>
  <c r="AQ83" i="12"/>
  <c r="AP83" i="12"/>
  <c r="AO83" i="12"/>
  <c r="AN83" i="12"/>
  <c r="AY78" i="12"/>
  <c r="AX78" i="12"/>
  <c r="AW78" i="12"/>
  <c r="AV78" i="12"/>
  <c r="AT78" i="12"/>
  <c r="AY77" i="12"/>
  <c r="AX77" i="12"/>
  <c r="AW77" i="12"/>
  <c r="AV77" i="12"/>
  <c r="AU77" i="12"/>
  <c r="AT77" i="12"/>
  <c r="AS77" i="12"/>
  <c r="AR77" i="12"/>
  <c r="AQ77" i="12"/>
  <c r="AP77" i="12"/>
  <c r="AO77" i="12"/>
  <c r="AN77" i="12"/>
  <c r="AN76" i="12"/>
  <c r="AY75" i="12"/>
  <c r="AX75" i="12"/>
  <c r="AW75" i="12"/>
  <c r="AV75" i="12"/>
  <c r="AU75" i="12"/>
  <c r="AT75" i="12"/>
  <c r="AS75" i="12"/>
  <c r="AR75" i="12"/>
  <c r="AQ75" i="12"/>
  <c r="AP75" i="12"/>
  <c r="AO75" i="12"/>
  <c r="AN75" i="12"/>
  <c r="AY74" i="12"/>
  <c r="AV74" i="12"/>
  <c r="AU74" i="12"/>
  <c r="AT74" i="12"/>
  <c r="AS74" i="12"/>
  <c r="AR74" i="12"/>
  <c r="AQ74" i="12"/>
  <c r="AP74" i="12"/>
  <c r="AO74" i="12"/>
  <c r="AN74" i="12"/>
  <c r="AU73" i="12"/>
  <c r="AY72" i="12"/>
  <c r="AX72" i="12"/>
  <c r="AW72" i="12"/>
  <c r="AV72" i="12"/>
  <c r="AT72" i="12"/>
  <c r="AS72" i="12"/>
  <c r="AR72" i="12"/>
  <c r="AQ72" i="12"/>
  <c r="AP72" i="12"/>
  <c r="AO72" i="12"/>
  <c r="AN72" i="12"/>
  <c r="AX70" i="12"/>
  <c r="AW70" i="12"/>
  <c r="AN70" i="12"/>
  <c r="AX69" i="12"/>
  <c r="AY68" i="12"/>
  <c r="AX68" i="12"/>
  <c r="AV68" i="12"/>
  <c r="AU68" i="12"/>
  <c r="AT68" i="12"/>
  <c r="AS68" i="12"/>
  <c r="AR68" i="12"/>
  <c r="AQ68" i="12"/>
  <c r="AP68" i="12"/>
  <c r="AO68" i="12"/>
  <c r="AN68" i="12"/>
  <c r="AW66" i="12"/>
  <c r="AV66" i="12"/>
  <c r="AU66" i="12"/>
  <c r="AT66" i="12"/>
  <c r="AS66" i="12"/>
  <c r="AR66" i="12"/>
  <c r="AQ66" i="12"/>
  <c r="AP66" i="12"/>
  <c r="AO66" i="12"/>
  <c r="AN66" i="12"/>
  <c r="AO65" i="12"/>
  <c r="AN65" i="12"/>
  <c r="AX63" i="12"/>
  <c r="AW63" i="12"/>
  <c r="AV63" i="12"/>
  <c r="AU63" i="12"/>
  <c r="AT63" i="12"/>
  <c r="AS63" i="12"/>
  <c r="AY62" i="12"/>
  <c r="AX62" i="12"/>
  <c r="AW62" i="12"/>
  <c r="AV62" i="12"/>
  <c r="AT62" i="12"/>
  <c r="AS62" i="12"/>
  <c r="AQ62" i="12"/>
  <c r="AP62" i="12"/>
  <c r="AO62" i="12"/>
  <c r="AN62" i="12"/>
  <c r="AY61" i="12"/>
  <c r="AX61" i="12"/>
  <c r="AW61" i="12"/>
  <c r="AV61" i="12"/>
  <c r="AU61" i="12"/>
  <c r="AT61" i="12"/>
  <c r="AS61" i="12"/>
  <c r="AR61" i="12"/>
  <c r="AQ61" i="12"/>
  <c r="AP61" i="12"/>
  <c r="AO61" i="12"/>
  <c r="AN61" i="12"/>
  <c r="AV60" i="12"/>
  <c r="AU60" i="12"/>
  <c r="AT60" i="12"/>
  <c r="AS60" i="12"/>
  <c r="AR60" i="12"/>
  <c r="AQ60" i="12"/>
  <c r="AP60" i="12"/>
  <c r="AO60" i="12"/>
  <c r="AN60" i="12"/>
  <c r="AT58" i="12"/>
  <c r="AS58" i="12"/>
  <c r="AR58" i="12"/>
  <c r="AQ58" i="12"/>
  <c r="AP58" i="12"/>
  <c r="AO58" i="12"/>
  <c r="AN58" i="12"/>
  <c r="AY56" i="12"/>
  <c r="AX56" i="12"/>
  <c r="AW56" i="12"/>
  <c r="AV56" i="12"/>
  <c r="AU56" i="12"/>
  <c r="AT56" i="12"/>
  <c r="AS56" i="12"/>
  <c r="AR56" i="12"/>
  <c r="AQ56" i="12"/>
  <c r="AP56" i="12"/>
  <c r="AO56" i="12"/>
  <c r="AN56" i="12"/>
  <c r="AY55" i="12"/>
  <c r="AX55" i="12"/>
  <c r="AW55" i="12"/>
  <c r="AV55" i="12"/>
  <c r="AU55" i="12"/>
  <c r="AT55" i="12"/>
  <c r="AS55" i="12"/>
  <c r="AR55" i="12"/>
  <c r="AQ55" i="12"/>
  <c r="AP55" i="12"/>
  <c r="AO55" i="12"/>
  <c r="AN55" i="12"/>
  <c r="AY54" i="12"/>
  <c r="AX54" i="12"/>
  <c r="AW54" i="12"/>
  <c r="AV54" i="12"/>
  <c r="AU54" i="12"/>
  <c r="AT54" i="12"/>
  <c r="AS54" i="12"/>
  <c r="AR54" i="12"/>
  <c r="AQ54" i="12"/>
  <c r="AP54" i="12"/>
  <c r="AO54" i="12"/>
  <c r="AN54" i="12"/>
  <c r="AY53" i="12"/>
  <c r="AW53" i="12"/>
  <c r="AV53" i="12"/>
  <c r="AU53" i="12"/>
  <c r="AT53" i="12"/>
  <c r="AS53" i="12"/>
  <c r="AR53" i="12"/>
  <c r="AQ53" i="12"/>
  <c r="AP53" i="12"/>
  <c r="AN53" i="12"/>
  <c r="AY52" i="12"/>
  <c r="AX52" i="12"/>
  <c r="AW52" i="12"/>
  <c r="AV52" i="12"/>
  <c r="AU52" i="12"/>
  <c r="AT52" i="12"/>
  <c r="AS52" i="12"/>
  <c r="AR52" i="12"/>
  <c r="AQ52" i="12"/>
  <c r="AP52" i="12"/>
  <c r="AO52" i="12"/>
  <c r="AN52" i="12"/>
  <c r="AY51" i="12"/>
  <c r="AX51" i="12"/>
  <c r="AW51" i="12"/>
  <c r="AV51" i="12"/>
  <c r="AU51" i="12"/>
  <c r="AT51" i="12"/>
  <c r="AS51" i="12"/>
  <c r="AR51" i="12"/>
  <c r="AQ51" i="12"/>
  <c r="AP51" i="12"/>
  <c r="AO51" i="12"/>
  <c r="AN51" i="12"/>
  <c r="AY50" i="12"/>
  <c r="AX50" i="12"/>
  <c r="AW50" i="12"/>
  <c r="AV50" i="12"/>
  <c r="AU50" i="12"/>
  <c r="AT50" i="12"/>
  <c r="AS50" i="12"/>
  <c r="AR50" i="12"/>
  <c r="AQ50" i="12"/>
  <c r="AP50" i="12"/>
  <c r="AO50" i="12"/>
  <c r="AN50" i="12"/>
  <c r="AY45" i="12"/>
  <c r="AX45" i="12"/>
  <c r="AW45" i="12"/>
  <c r="AV45" i="12"/>
  <c r="AT45" i="12"/>
  <c r="AR45" i="12"/>
  <c r="AP45" i="12"/>
  <c r="AN45" i="12"/>
  <c r="AS44" i="12"/>
  <c r="AX40" i="12"/>
  <c r="AW40" i="12"/>
  <c r="AV40" i="12"/>
  <c r="AT40" i="12"/>
  <c r="AO40" i="12"/>
  <c r="AW38" i="12"/>
  <c r="AV38" i="12"/>
  <c r="AU38" i="12"/>
  <c r="AT38" i="12"/>
  <c r="AS38" i="12"/>
  <c r="AR38" i="12"/>
  <c r="AQ38" i="12"/>
  <c r="AP38" i="12"/>
  <c r="AO38" i="12"/>
  <c r="AN38" i="12"/>
  <c r="AY35" i="12"/>
  <c r="AX35" i="12"/>
  <c r="AW35" i="12"/>
  <c r="AV35" i="12"/>
  <c r="AU35" i="12"/>
  <c r="AT35" i="12"/>
  <c r="AS35" i="12"/>
  <c r="AR35" i="12"/>
  <c r="AQ35" i="12"/>
  <c r="AP35" i="12"/>
  <c r="AO35" i="12"/>
  <c r="AN35" i="12"/>
  <c r="AY32" i="12"/>
  <c r="AX32" i="12"/>
  <c r="AW32" i="12"/>
  <c r="AV32" i="12"/>
  <c r="AU32" i="12"/>
  <c r="AT32" i="12"/>
  <c r="AS32" i="12"/>
  <c r="AR32" i="12"/>
  <c r="AQ32" i="12"/>
  <c r="AP32" i="12"/>
  <c r="AO32" i="12"/>
  <c r="AN32" i="12"/>
  <c r="AY28" i="12"/>
  <c r="AX28" i="12"/>
  <c r="AW28" i="12"/>
  <c r="AV28" i="12"/>
  <c r="AU28" i="12"/>
  <c r="AT28" i="12"/>
  <c r="AS28" i="12"/>
  <c r="AR28" i="12"/>
  <c r="AQ28" i="12"/>
  <c r="AP28" i="12"/>
  <c r="AO28" i="12"/>
  <c r="AN28" i="12"/>
  <c r="AB167" i="12"/>
  <c r="AB165" i="12"/>
  <c r="AM164" i="12"/>
  <c r="AL164" i="12"/>
  <c r="AK164" i="12"/>
  <c r="AJ164" i="12"/>
  <c r="AI164" i="12"/>
  <c r="AH164" i="12"/>
  <c r="AG164" i="12"/>
  <c r="AF164" i="12"/>
  <c r="AE164" i="12"/>
  <c r="AD164" i="12"/>
  <c r="AC164" i="12"/>
  <c r="AM163" i="12"/>
  <c r="AL163" i="12"/>
  <c r="AK163" i="12"/>
  <c r="AJ163" i="12"/>
  <c r="AI163" i="12"/>
  <c r="AH163" i="12"/>
  <c r="AM162" i="12"/>
  <c r="AL162" i="12"/>
  <c r="AK162" i="12"/>
  <c r="AJ162" i="12"/>
  <c r="AI162" i="12"/>
  <c r="AH162" i="12"/>
  <c r="AG162" i="12"/>
  <c r="AF162" i="12"/>
  <c r="AE162" i="12"/>
  <c r="AD162" i="12"/>
  <c r="AM161" i="12"/>
  <c r="AL161" i="12"/>
  <c r="AK161" i="12"/>
  <c r="AJ161" i="12"/>
  <c r="AI161" i="12"/>
  <c r="AH161" i="12"/>
  <c r="AG161" i="12"/>
  <c r="AF161" i="12"/>
  <c r="AE161" i="12"/>
  <c r="AD161" i="12"/>
  <c r="AC161" i="12"/>
  <c r="AB161" i="12"/>
  <c r="AM160" i="12"/>
  <c r="AL160" i="12"/>
  <c r="AK160" i="12"/>
  <c r="AJ160" i="12"/>
  <c r="AI160" i="12"/>
  <c r="AH160" i="12"/>
  <c r="AG160" i="12"/>
  <c r="AF160" i="12"/>
  <c r="AE160" i="12"/>
  <c r="AD160" i="12"/>
  <c r="AC160" i="12"/>
  <c r="AB160" i="12"/>
  <c r="AM159" i="12"/>
  <c r="AL159" i="12"/>
  <c r="AJ159" i="12"/>
  <c r="AI159" i="12"/>
  <c r="AH159" i="12"/>
  <c r="AG159" i="12"/>
  <c r="AF159" i="12"/>
  <c r="AE159" i="12"/>
  <c r="AD159" i="12"/>
  <c r="AC159" i="12"/>
  <c r="AB159" i="12"/>
  <c r="AM158" i="12"/>
  <c r="AL158" i="12"/>
  <c r="AK158" i="12"/>
  <c r="AJ158" i="12"/>
  <c r="AI158" i="12"/>
  <c r="AH158" i="12"/>
  <c r="AG158" i="12"/>
  <c r="AF158" i="12"/>
  <c r="AE158" i="12"/>
  <c r="AD158" i="12"/>
  <c r="AC158" i="12"/>
  <c r="AB158" i="12"/>
  <c r="AM157" i="12"/>
  <c r="AK24" i="26" s="1"/>
  <c r="AL157" i="12"/>
  <c r="AJ24" i="26" s="1"/>
  <c r="AK157" i="12"/>
  <c r="AI24" i="26" s="1"/>
  <c r="AJ157" i="12"/>
  <c r="AH24" i="26" s="1"/>
  <c r="AI157" i="12"/>
  <c r="AG24" i="26" s="1"/>
  <c r="AH157" i="12"/>
  <c r="AF24" i="26" s="1"/>
  <c r="AG157" i="12"/>
  <c r="AE24" i="26" s="1"/>
  <c r="AF157" i="12"/>
  <c r="AD24" i="26" s="1"/>
  <c r="AE157" i="12"/>
  <c r="AC24" i="26" s="1"/>
  <c r="AD157" i="12"/>
  <c r="AB24" i="26" s="1"/>
  <c r="AC157" i="12"/>
  <c r="AA24" i="26" s="1"/>
  <c r="AB157" i="12"/>
  <c r="Z24" i="26" s="1"/>
  <c r="AM156" i="12"/>
  <c r="AL156" i="12"/>
  <c r="AK156" i="12"/>
  <c r="AJ156" i="12"/>
  <c r="AI156" i="12"/>
  <c r="AH156" i="12"/>
  <c r="AG156" i="12"/>
  <c r="AF156" i="12"/>
  <c r="AE156" i="12"/>
  <c r="AD156" i="12"/>
  <c r="AC156" i="12"/>
  <c r="AB156" i="12"/>
  <c r="AM155" i="12"/>
  <c r="AL155" i="12"/>
  <c r="AK155" i="12"/>
  <c r="AJ155" i="12"/>
  <c r="AI155" i="12"/>
  <c r="AH155" i="12"/>
  <c r="AG155" i="12"/>
  <c r="AF155" i="12"/>
  <c r="AE155" i="12"/>
  <c r="AD155" i="12"/>
  <c r="AC155" i="12"/>
  <c r="AB155" i="12"/>
  <c r="AM154" i="12"/>
  <c r="AL154" i="12"/>
  <c r="AK154" i="12"/>
  <c r="AJ154" i="12"/>
  <c r="AI154" i="12"/>
  <c r="AH154" i="12"/>
  <c r="AG154" i="12"/>
  <c r="AF154" i="12"/>
  <c r="AE154" i="12"/>
  <c r="AD154" i="12"/>
  <c r="AC154" i="12"/>
  <c r="AB154" i="12"/>
  <c r="AM149" i="12"/>
  <c r="AL149" i="12"/>
  <c r="AK149" i="12"/>
  <c r="AJ149" i="12"/>
  <c r="AI149" i="12"/>
  <c r="AH149" i="12"/>
  <c r="AG149" i="12"/>
  <c r="AF149" i="12"/>
  <c r="AE149" i="12"/>
  <c r="AD149" i="12"/>
  <c r="AC149" i="12"/>
  <c r="AB149" i="12"/>
  <c r="AM148" i="12"/>
  <c r="AL148" i="12"/>
  <c r="AK148" i="12"/>
  <c r="AJ148" i="12"/>
  <c r="AI148" i="12"/>
  <c r="AH148" i="12"/>
  <c r="AG148" i="12"/>
  <c r="AF148" i="12"/>
  <c r="AE148" i="12"/>
  <c r="AD148" i="12"/>
  <c r="AC148" i="12"/>
  <c r="AB148" i="12"/>
  <c r="AM147" i="12"/>
  <c r="AL147" i="12"/>
  <c r="AK147" i="12"/>
  <c r="AJ147" i="12"/>
  <c r="AI147" i="12"/>
  <c r="AH147" i="12"/>
  <c r="AG147" i="12"/>
  <c r="AF147" i="12"/>
  <c r="AE147" i="12"/>
  <c r="AD147" i="12"/>
  <c r="AC147" i="12"/>
  <c r="AB147" i="12"/>
  <c r="AM146" i="12"/>
  <c r="AL146" i="12"/>
  <c r="AK146" i="12"/>
  <c r="AJ146" i="12"/>
  <c r="AI146" i="12"/>
  <c r="AH146" i="12"/>
  <c r="AG146" i="12"/>
  <c r="AF146" i="12"/>
  <c r="AE146" i="12"/>
  <c r="AD146" i="12"/>
  <c r="AC146" i="12"/>
  <c r="AB146" i="12"/>
  <c r="AM145" i="12"/>
  <c r="AL145" i="12"/>
  <c r="AK145" i="12"/>
  <c r="AJ145" i="12"/>
  <c r="AI145" i="12"/>
  <c r="AH145" i="12"/>
  <c r="AG145" i="12"/>
  <c r="AF145" i="12"/>
  <c r="AE145" i="12"/>
  <c r="AD145" i="12"/>
  <c r="AC145" i="12"/>
  <c r="AB145" i="12"/>
  <c r="AM144" i="12"/>
  <c r="AL144" i="12"/>
  <c r="AK144" i="12"/>
  <c r="AJ144" i="12"/>
  <c r="AI144" i="12"/>
  <c r="AH144" i="12"/>
  <c r="AG144" i="12"/>
  <c r="AF144" i="12"/>
  <c r="AE144" i="12"/>
  <c r="AD144" i="12"/>
  <c r="AC144" i="12"/>
  <c r="AB144" i="12"/>
  <c r="AM143" i="12"/>
  <c r="AL143" i="12"/>
  <c r="AK143" i="12"/>
  <c r="AJ143" i="12"/>
  <c r="AI143" i="12"/>
  <c r="AH143" i="12"/>
  <c r="AG143" i="12"/>
  <c r="AF143" i="12"/>
  <c r="AE143" i="12"/>
  <c r="AD143" i="12"/>
  <c r="AC143" i="12"/>
  <c r="AB143" i="12"/>
  <c r="AM142" i="12"/>
  <c r="AL142" i="12"/>
  <c r="AK142" i="12"/>
  <c r="AJ142" i="12"/>
  <c r="AI142" i="12"/>
  <c r="AH142" i="12"/>
  <c r="AG142" i="12"/>
  <c r="AF142" i="12"/>
  <c r="AE142" i="12"/>
  <c r="AD142" i="12"/>
  <c r="AC142" i="12"/>
  <c r="AB142" i="12"/>
  <c r="AM141" i="12"/>
  <c r="AL141" i="12"/>
  <c r="AK141" i="12"/>
  <c r="AJ141" i="12"/>
  <c r="AI141" i="12"/>
  <c r="AH141" i="12"/>
  <c r="AG141" i="12"/>
  <c r="AF141" i="12"/>
  <c r="AE141" i="12"/>
  <c r="AD141" i="12"/>
  <c r="AC141" i="12"/>
  <c r="AB141" i="12"/>
  <c r="AM140" i="12"/>
  <c r="AL140" i="12"/>
  <c r="AK140" i="12"/>
  <c r="AJ140" i="12"/>
  <c r="AI140" i="12"/>
  <c r="AH140" i="12"/>
  <c r="AG140" i="12"/>
  <c r="AF140" i="12"/>
  <c r="AE140" i="12"/>
  <c r="AD140" i="12"/>
  <c r="AC140" i="12"/>
  <c r="AB140" i="12"/>
  <c r="AM139" i="12"/>
  <c r="AL139" i="12"/>
  <c r="AK139" i="12"/>
  <c r="AJ139" i="12"/>
  <c r="AI139" i="12"/>
  <c r="AH139" i="12"/>
  <c r="AG139" i="12"/>
  <c r="AF139" i="12"/>
  <c r="AE139" i="12"/>
  <c r="AD139" i="12"/>
  <c r="AC139" i="12"/>
  <c r="AB139" i="12"/>
  <c r="AM138" i="12"/>
  <c r="AL138" i="12"/>
  <c r="AK138" i="12"/>
  <c r="AJ138" i="12"/>
  <c r="AI138" i="12"/>
  <c r="AH138" i="12"/>
  <c r="AG138" i="12"/>
  <c r="AF138" i="12"/>
  <c r="AE138" i="12"/>
  <c r="AD138" i="12"/>
  <c r="AC138" i="12"/>
  <c r="AB138" i="12"/>
  <c r="AM137" i="12"/>
  <c r="AL137" i="12"/>
  <c r="AK137" i="12"/>
  <c r="AJ137" i="12"/>
  <c r="AI137" i="12"/>
  <c r="AH137" i="12"/>
  <c r="AG137" i="12"/>
  <c r="AF137" i="12"/>
  <c r="AE137" i="12"/>
  <c r="AD137" i="12"/>
  <c r="AC137" i="12"/>
  <c r="AB137" i="12"/>
  <c r="AM136" i="12"/>
  <c r="AL136" i="12"/>
  <c r="AK136" i="12"/>
  <c r="AJ136" i="12"/>
  <c r="AI136" i="12"/>
  <c r="AH136" i="12"/>
  <c r="AG136" i="12"/>
  <c r="AF136" i="12"/>
  <c r="AE136" i="12"/>
  <c r="AD136" i="12"/>
  <c r="AC136" i="12"/>
  <c r="AB136" i="12"/>
  <c r="AM132" i="12"/>
  <c r="AL132" i="12"/>
  <c r="AK132" i="12"/>
  <c r="AJ132" i="12"/>
  <c r="AI132" i="12"/>
  <c r="AH132" i="12"/>
  <c r="AG132" i="12"/>
  <c r="AM130" i="12"/>
  <c r="AL130" i="12"/>
  <c r="AK130" i="12"/>
  <c r="AJ130" i="12"/>
  <c r="AI130" i="12"/>
  <c r="AH130" i="12"/>
  <c r="AG130" i="12"/>
  <c r="AF130" i="12"/>
  <c r="AE130" i="12"/>
  <c r="AD130" i="12"/>
  <c r="AC130" i="12"/>
  <c r="AB130" i="12"/>
  <c r="AF128" i="12"/>
  <c r="AE128" i="12"/>
  <c r="AD128" i="12"/>
  <c r="AC128" i="12"/>
  <c r="AB128" i="12"/>
  <c r="AM127" i="12"/>
  <c r="AL127" i="12"/>
  <c r="AK127" i="12"/>
  <c r="AJ127" i="12"/>
  <c r="AI127" i="12"/>
  <c r="AH127" i="12"/>
  <c r="AG127" i="12"/>
  <c r="AF127" i="12"/>
  <c r="AE127" i="12"/>
  <c r="AD127" i="12"/>
  <c r="AC127" i="12"/>
  <c r="AB127" i="12"/>
  <c r="AM125" i="12"/>
  <c r="AL125" i="12"/>
  <c r="AK125" i="12"/>
  <c r="AJ125" i="12"/>
  <c r="AI125" i="12"/>
  <c r="AH125" i="12"/>
  <c r="AG125" i="12"/>
  <c r="AF125" i="12"/>
  <c r="AE125" i="12"/>
  <c r="AD125" i="12"/>
  <c r="AC125" i="12"/>
  <c r="AB125" i="12"/>
  <c r="AM122" i="12"/>
  <c r="AL122" i="12"/>
  <c r="AK122" i="12"/>
  <c r="AJ122" i="12"/>
  <c r="AI122" i="12"/>
  <c r="AH122" i="12"/>
  <c r="AG122" i="12"/>
  <c r="AF122" i="12"/>
  <c r="AE122" i="12"/>
  <c r="AD122" i="12"/>
  <c r="AC122" i="12"/>
  <c r="AB122" i="12"/>
  <c r="AC119" i="12"/>
  <c r="AB119" i="12"/>
  <c r="AM118" i="12"/>
  <c r="AL118" i="12"/>
  <c r="AK118" i="12"/>
  <c r="AJ118" i="12"/>
  <c r="AI118" i="12"/>
  <c r="AH118" i="12"/>
  <c r="AG118" i="12"/>
  <c r="AF118" i="12"/>
  <c r="AE118" i="12"/>
  <c r="AD118" i="12"/>
  <c r="AC118" i="12"/>
  <c r="AB118" i="12"/>
  <c r="AM116" i="12"/>
  <c r="AL116" i="12"/>
  <c r="AK116" i="12"/>
  <c r="AJ116" i="12"/>
  <c r="AI116" i="12"/>
  <c r="AH116" i="12"/>
  <c r="AG116" i="12"/>
  <c r="AF116" i="12"/>
  <c r="AE116" i="12"/>
  <c r="AD116" i="12"/>
  <c r="AC116" i="12"/>
  <c r="AB116" i="12"/>
  <c r="AM115" i="12"/>
  <c r="AL115" i="12"/>
  <c r="AK115" i="12"/>
  <c r="AJ115" i="12"/>
  <c r="AI115" i="12"/>
  <c r="AH115" i="12"/>
  <c r="AG115" i="12"/>
  <c r="AF115" i="12"/>
  <c r="AE115" i="12"/>
  <c r="AD115" i="12"/>
  <c r="AC115" i="12"/>
  <c r="AB115" i="12"/>
  <c r="AM114" i="12"/>
  <c r="AL114" i="12"/>
  <c r="AK114" i="12"/>
  <c r="AJ114" i="12"/>
  <c r="AI114" i="12"/>
  <c r="AH114" i="12"/>
  <c r="AG114" i="12"/>
  <c r="AF114" i="12"/>
  <c r="AE114" i="12"/>
  <c r="AD114" i="12"/>
  <c r="AC114" i="12"/>
  <c r="AB114" i="12"/>
  <c r="AM113" i="12"/>
  <c r="AL113" i="12"/>
  <c r="AK113" i="12"/>
  <c r="AJ113" i="12"/>
  <c r="AI113" i="12"/>
  <c r="AH113" i="12"/>
  <c r="AG113" i="12"/>
  <c r="AF113" i="12"/>
  <c r="AE113" i="12"/>
  <c r="AD113" i="12"/>
  <c r="AC113" i="12"/>
  <c r="AB113" i="12"/>
  <c r="AE109" i="12"/>
  <c r="AC109" i="12"/>
  <c r="AB109" i="12"/>
  <c r="AM108" i="12"/>
  <c r="AL108" i="12"/>
  <c r="AK108" i="12"/>
  <c r="AG108" i="12"/>
  <c r="AF108" i="12"/>
  <c r="AE108" i="12"/>
  <c r="AD108" i="12"/>
  <c r="AC108" i="12"/>
  <c r="AB108" i="12"/>
  <c r="AM107" i="12"/>
  <c r="AL107" i="12"/>
  <c r="AK107" i="12"/>
  <c r="AJ107" i="12"/>
  <c r="AI107" i="12"/>
  <c r="AH107" i="12"/>
  <c r="AG107" i="12"/>
  <c r="AF107" i="12"/>
  <c r="AE107" i="12"/>
  <c r="AD107" i="12"/>
  <c r="AC107" i="12"/>
  <c r="AB107" i="12"/>
  <c r="AM106" i="12"/>
  <c r="AL106" i="12"/>
  <c r="AK106" i="12"/>
  <c r="AJ106" i="12"/>
  <c r="AI106" i="12"/>
  <c r="AH106" i="12"/>
  <c r="AG106" i="12"/>
  <c r="AF106" i="12"/>
  <c r="AE106" i="12"/>
  <c r="AD106" i="12"/>
  <c r="AC106" i="12"/>
  <c r="AB106" i="12"/>
  <c r="AM105" i="12"/>
  <c r="AL105" i="12"/>
  <c r="AK105" i="12"/>
  <c r="AJ105" i="12"/>
  <c r="AI105" i="12"/>
  <c r="AH105" i="12"/>
  <c r="AG105" i="12"/>
  <c r="AF105" i="12"/>
  <c r="AE105" i="12"/>
  <c r="AD105" i="12"/>
  <c r="AC105" i="12"/>
  <c r="AB105" i="12"/>
  <c r="AM102" i="12"/>
  <c r="AL102" i="12"/>
  <c r="AK102" i="12"/>
  <c r="AJ102" i="12"/>
  <c r="AI102" i="12"/>
  <c r="AH102" i="12"/>
  <c r="AG102" i="12"/>
  <c r="AF102" i="12"/>
  <c r="AE102" i="12"/>
  <c r="AD102" i="12"/>
  <c r="AC102" i="12"/>
  <c r="AB102" i="12"/>
  <c r="AL101" i="12"/>
  <c r="AH101" i="12"/>
  <c r="AD101" i="12"/>
  <c r="AC101" i="12"/>
  <c r="AK100" i="12"/>
  <c r="AJ100" i="12"/>
  <c r="AI100" i="12"/>
  <c r="AH100" i="12"/>
  <c r="AG100" i="12"/>
  <c r="AF100" i="12"/>
  <c r="AE100" i="12"/>
  <c r="AD100" i="12"/>
  <c r="AM98" i="12"/>
  <c r="AL98" i="12"/>
  <c r="AK98" i="12"/>
  <c r="AJ98" i="12"/>
  <c r="AI98" i="12"/>
  <c r="AH98" i="12"/>
  <c r="AG98" i="12"/>
  <c r="AF98" i="12"/>
  <c r="AE98" i="12"/>
  <c r="AD98" i="12"/>
  <c r="AC98" i="12"/>
  <c r="AB98" i="12"/>
  <c r="AM97" i="12"/>
  <c r="AL97" i="12"/>
  <c r="AK97" i="12"/>
  <c r="AJ97" i="12"/>
  <c r="AI97" i="12"/>
  <c r="AH97" i="12"/>
  <c r="AG97" i="12"/>
  <c r="AF97" i="12"/>
  <c r="AE97" i="12"/>
  <c r="AD97" i="12"/>
  <c r="AC97" i="12"/>
  <c r="AB97" i="12"/>
  <c r="AM96" i="12"/>
  <c r="AL96" i="12"/>
  <c r="AK96" i="12"/>
  <c r="AJ96" i="12"/>
  <c r="AI96" i="12"/>
  <c r="AH96" i="12"/>
  <c r="AG96" i="12"/>
  <c r="AF96" i="12"/>
  <c r="AE96" i="12"/>
  <c r="AD96" i="12"/>
  <c r="AC96" i="12"/>
  <c r="AB96" i="12"/>
  <c r="AM94" i="12"/>
  <c r="AL94" i="12"/>
  <c r="AK94" i="12"/>
  <c r="AJ94" i="12"/>
  <c r="AI94" i="12"/>
  <c r="AH94" i="12"/>
  <c r="AG94" i="12"/>
  <c r="AF94" i="12"/>
  <c r="AE94" i="12"/>
  <c r="AD94" i="12"/>
  <c r="AC94" i="12"/>
  <c r="AB94" i="12"/>
  <c r="AM93" i="12"/>
  <c r="AL93" i="12"/>
  <c r="AK93" i="12"/>
  <c r="AJ93" i="12"/>
  <c r="AI93" i="12"/>
  <c r="AH93" i="12"/>
  <c r="AG93" i="12"/>
  <c r="AF93" i="12"/>
  <c r="AE93" i="12"/>
  <c r="AD93" i="12"/>
  <c r="AC93" i="12"/>
  <c r="AB93" i="12"/>
  <c r="AM92" i="12"/>
  <c r="AL92" i="12"/>
  <c r="AK92" i="12"/>
  <c r="AJ92" i="12"/>
  <c r="AI92" i="12"/>
  <c r="AH92" i="12"/>
  <c r="AG92" i="12"/>
  <c r="AF92" i="12"/>
  <c r="AE92" i="12"/>
  <c r="AD92" i="12"/>
  <c r="AC92" i="12"/>
  <c r="AB92" i="12"/>
  <c r="AM90" i="12"/>
  <c r="AL90" i="12"/>
  <c r="AK90" i="12"/>
  <c r="AJ90" i="12"/>
  <c r="AI90" i="12"/>
  <c r="AH90" i="12"/>
  <c r="AG90" i="12"/>
  <c r="AF90" i="12"/>
  <c r="AE90" i="12"/>
  <c r="AD90" i="12"/>
  <c r="AC90" i="12"/>
  <c r="AB90" i="12"/>
  <c r="AC85" i="12"/>
  <c r="AM84" i="12"/>
  <c r="AL84" i="12"/>
  <c r="AJ84" i="12"/>
  <c r="AI84" i="12"/>
  <c r="AH84" i="12"/>
  <c r="AM83" i="12"/>
  <c r="AL83" i="12"/>
  <c r="AK83" i="12"/>
  <c r="AJ83" i="12"/>
  <c r="AI83" i="12"/>
  <c r="AH83" i="12"/>
  <c r="AG83" i="12"/>
  <c r="AF83" i="12"/>
  <c r="AE83" i="12"/>
  <c r="AD83" i="12"/>
  <c r="AC83" i="12"/>
  <c r="AB83" i="12"/>
  <c r="AL81" i="12"/>
  <c r="AJ81" i="12"/>
  <c r="AF81" i="12"/>
  <c r="AC81" i="12"/>
  <c r="AM80" i="12"/>
  <c r="AL80" i="12"/>
  <c r="AC80" i="12"/>
  <c r="AL77" i="12"/>
  <c r="AI77" i="12"/>
  <c r="AH77" i="12"/>
  <c r="AG77" i="12"/>
  <c r="AF77" i="12"/>
  <c r="AE77" i="12"/>
  <c r="AD77" i="12"/>
  <c r="AC77" i="12"/>
  <c r="AB77" i="12"/>
  <c r="AL76" i="12"/>
  <c r="AG76" i="12"/>
  <c r="AF76" i="12"/>
  <c r="AE76" i="12"/>
  <c r="AD76" i="12"/>
  <c r="AB76" i="12"/>
  <c r="AM75" i="12"/>
  <c r="AL75" i="12"/>
  <c r="AK75" i="12"/>
  <c r="AJ75" i="12"/>
  <c r="AI75" i="12"/>
  <c r="AH75" i="12"/>
  <c r="AG75" i="12"/>
  <c r="AF75" i="12"/>
  <c r="AE75" i="12"/>
  <c r="AD75" i="12"/>
  <c r="AC75" i="12"/>
  <c r="AB75" i="12"/>
  <c r="AM74" i="12"/>
  <c r="AL74" i="12"/>
  <c r="AK74" i="12"/>
  <c r="AJ74" i="12"/>
  <c r="AI74" i="12"/>
  <c r="AH74" i="12"/>
  <c r="AG74" i="12"/>
  <c r="AF74" i="12"/>
  <c r="AE74" i="12"/>
  <c r="AD74" i="12"/>
  <c r="AC74" i="12"/>
  <c r="AB74" i="12"/>
  <c r="AF73" i="12"/>
  <c r="AM72" i="12"/>
  <c r="AL72" i="12"/>
  <c r="AK72" i="12"/>
  <c r="AJ72" i="12"/>
  <c r="AI72" i="12"/>
  <c r="AH72" i="12"/>
  <c r="AG72" i="12"/>
  <c r="AF72" i="12"/>
  <c r="AE72" i="12"/>
  <c r="AD72" i="12"/>
  <c r="AC72" i="12"/>
  <c r="AB72" i="12"/>
  <c r="AK70" i="12"/>
  <c r="AJ70" i="12"/>
  <c r="AI70" i="12"/>
  <c r="AH70" i="12"/>
  <c r="AG70" i="12"/>
  <c r="AF70" i="12"/>
  <c r="AE70" i="12"/>
  <c r="AD70" i="12"/>
  <c r="AC70" i="12"/>
  <c r="AB70" i="12"/>
  <c r="AI69" i="12"/>
  <c r="AH69" i="12"/>
  <c r="AE69" i="12"/>
  <c r="AC69" i="12"/>
  <c r="AB69" i="12"/>
  <c r="AM68" i="12"/>
  <c r="AL68" i="12"/>
  <c r="AK68" i="12"/>
  <c r="AJ68" i="12"/>
  <c r="AI68" i="12"/>
  <c r="AH68" i="12"/>
  <c r="AG68" i="12"/>
  <c r="AF68" i="12"/>
  <c r="AE68" i="12"/>
  <c r="AD68" i="12"/>
  <c r="AC68" i="12"/>
  <c r="AB68" i="12"/>
  <c r="AM66" i="12"/>
  <c r="AL66" i="12"/>
  <c r="AK66" i="12"/>
  <c r="AJ66" i="12"/>
  <c r="AI66" i="12"/>
  <c r="AH66" i="12"/>
  <c r="AG66" i="12"/>
  <c r="AF66" i="12"/>
  <c r="AE66" i="12"/>
  <c r="AD66" i="12"/>
  <c r="AC66" i="12"/>
  <c r="AB66" i="12"/>
  <c r="AM65" i="12"/>
  <c r="AL65" i="12"/>
  <c r="AE65" i="12"/>
  <c r="AD65" i="12"/>
  <c r="AC65" i="12"/>
  <c r="AK64" i="12"/>
  <c r="AF63" i="12"/>
  <c r="AE63" i="12"/>
  <c r="AB63" i="12"/>
  <c r="AM62" i="12"/>
  <c r="AL62" i="12"/>
  <c r="AK62" i="12"/>
  <c r="AI62" i="12"/>
  <c r="AH62" i="12"/>
  <c r="AG62" i="12"/>
  <c r="AD62" i="12"/>
  <c r="AC62" i="12"/>
  <c r="AM61" i="12"/>
  <c r="AL61" i="12"/>
  <c r="AI61" i="12"/>
  <c r="AH61" i="12"/>
  <c r="AG61" i="12"/>
  <c r="AF61" i="12"/>
  <c r="AE61" i="12"/>
  <c r="AD61" i="12"/>
  <c r="AC61" i="12"/>
  <c r="AB61" i="12"/>
  <c r="AM60" i="12"/>
  <c r="AL60" i="12"/>
  <c r="AK60" i="12"/>
  <c r="AJ60" i="12"/>
  <c r="AI60" i="12"/>
  <c r="AH60" i="12"/>
  <c r="AG60" i="12"/>
  <c r="AF60" i="12"/>
  <c r="AE60" i="12"/>
  <c r="AD60" i="12"/>
  <c r="AC60" i="12"/>
  <c r="AB60" i="12"/>
  <c r="AM59" i="12"/>
  <c r="AL59" i="12"/>
  <c r="AK59" i="12"/>
  <c r="AJ59" i="12"/>
  <c r="AI59" i="12"/>
  <c r="AH59" i="12"/>
  <c r="AG59" i="12"/>
  <c r="AF59" i="12"/>
  <c r="AE59" i="12"/>
  <c r="AD59" i="12"/>
  <c r="AC59" i="12"/>
  <c r="AB59" i="12"/>
  <c r="AM58" i="12"/>
  <c r="AL58" i="12"/>
  <c r="AK58" i="12"/>
  <c r="AJ58" i="12"/>
  <c r="AI58" i="12"/>
  <c r="AH58" i="12"/>
  <c r="AG58" i="12"/>
  <c r="AF58" i="12"/>
  <c r="AE58" i="12"/>
  <c r="AD58" i="12"/>
  <c r="AC58" i="12"/>
  <c r="AB58" i="12"/>
  <c r="AM56" i="12"/>
  <c r="AL56" i="12"/>
  <c r="AK56" i="12"/>
  <c r="AJ56" i="12"/>
  <c r="AI56" i="12"/>
  <c r="AH56" i="12"/>
  <c r="AG56" i="12"/>
  <c r="AF56" i="12"/>
  <c r="AE56" i="12"/>
  <c r="AD56" i="12"/>
  <c r="AC56" i="12"/>
  <c r="AB56" i="12"/>
  <c r="AM55" i="12"/>
  <c r="AL55" i="12"/>
  <c r="AK55" i="12"/>
  <c r="AJ55" i="12"/>
  <c r="AI55" i="12"/>
  <c r="AH55" i="12"/>
  <c r="AG55" i="12"/>
  <c r="AF55" i="12"/>
  <c r="AE55" i="12"/>
  <c r="AD55" i="12"/>
  <c r="AC55" i="12"/>
  <c r="AB55" i="12"/>
  <c r="AM54" i="12"/>
  <c r="AL54" i="12"/>
  <c r="AK54" i="12"/>
  <c r="AJ54" i="12"/>
  <c r="AI54" i="12"/>
  <c r="AH54" i="12"/>
  <c r="AG54" i="12"/>
  <c r="AF54" i="12"/>
  <c r="AE54" i="12"/>
  <c r="AD54" i="12"/>
  <c r="AC54" i="12"/>
  <c r="AB54" i="12"/>
  <c r="AM53" i="12"/>
  <c r="AL53" i="12"/>
  <c r="AK53" i="12"/>
  <c r="AJ53" i="12"/>
  <c r="AI53" i="12"/>
  <c r="AH53" i="12"/>
  <c r="AG53" i="12"/>
  <c r="AF53" i="12"/>
  <c r="AE53" i="12"/>
  <c r="AD53" i="12"/>
  <c r="AC53" i="12"/>
  <c r="AB53" i="12"/>
  <c r="AM52" i="12"/>
  <c r="AL52" i="12"/>
  <c r="AK52" i="12"/>
  <c r="AJ52" i="12"/>
  <c r="AI52" i="12"/>
  <c r="AH52" i="12"/>
  <c r="AG52" i="12"/>
  <c r="AF52" i="12"/>
  <c r="AE52" i="12"/>
  <c r="AD52" i="12"/>
  <c r="AC52" i="12"/>
  <c r="AB52" i="12"/>
  <c r="AM51" i="12"/>
  <c r="AL51" i="12"/>
  <c r="AK51" i="12"/>
  <c r="AJ51" i="12"/>
  <c r="AI51" i="12"/>
  <c r="AH51" i="12"/>
  <c r="AG51" i="12"/>
  <c r="AF51" i="12"/>
  <c r="AE51" i="12"/>
  <c r="AD51" i="12"/>
  <c r="AC51" i="12"/>
  <c r="AB51" i="12"/>
  <c r="AM50" i="12"/>
  <c r="AL50" i="12"/>
  <c r="AK50" i="12"/>
  <c r="AJ50" i="12"/>
  <c r="AI50" i="12"/>
  <c r="AH50" i="12"/>
  <c r="AG50" i="12"/>
  <c r="AF50" i="12"/>
  <c r="AE50" i="12"/>
  <c r="AD50" i="12"/>
  <c r="AC50" i="12"/>
  <c r="AB50" i="12"/>
  <c r="AK45" i="12"/>
  <c r="AD45" i="12"/>
  <c r="AC45" i="12"/>
  <c r="AJ44" i="12"/>
  <c r="AF44" i="12"/>
  <c r="AM38" i="12"/>
  <c r="AL38" i="12"/>
  <c r="AK38" i="12"/>
  <c r="AJ38" i="12"/>
  <c r="AI38" i="12"/>
  <c r="AH38" i="12"/>
  <c r="AG38" i="12"/>
  <c r="AF38" i="12"/>
  <c r="AE38" i="12"/>
  <c r="AD38" i="12"/>
  <c r="AC38" i="12"/>
  <c r="AB38" i="12"/>
  <c r="AM35" i="12"/>
  <c r="AL35" i="12"/>
  <c r="AK35" i="12"/>
  <c r="AJ35" i="12"/>
  <c r="AI35" i="12"/>
  <c r="AH35" i="12"/>
  <c r="AG35" i="12"/>
  <c r="AF35" i="12"/>
  <c r="AE35" i="12"/>
  <c r="AD35" i="12"/>
  <c r="AC35" i="12"/>
  <c r="AB35" i="12"/>
  <c r="AM32" i="12"/>
  <c r="AL32" i="12"/>
  <c r="AK32" i="12"/>
  <c r="AJ32" i="12"/>
  <c r="AI32" i="12"/>
  <c r="AH32" i="12"/>
  <c r="AG32" i="12"/>
  <c r="AF32" i="12"/>
  <c r="AE32" i="12"/>
  <c r="AD32" i="12"/>
  <c r="AC32" i="12"/>
  <c r="AB32" i="12"/>
  <c r="AM28" i="12"/>
  <c r="AL28" i="12"/>
  <c r="AK28" i="12"/>
  <c r="AJ28" i="12"/>
  <c r="AI28" i="12"/>
  <c r="AH28" i="12"/>
  <c r="AG28" i="12"/>
  <c r="AF28" i="12"/>
  <c r="AE28" i="12"/>
  <c r="AD28" i="12"/>
  <c r="AC28" i="12"/>
  <c r="AB28" i="12"/>
  <c r="AA167" i="12"/>
  <c r="Z167" i="12"/>
  <c r="Y167" i="12"/>
  <c r="X167" i="12"/>
  <c r="W167" i="12"/>
  <c r="V167" i="12"/>
  <c r="U167" i="12"/>
  <c r="T167" i="12"/>
  <c r="R167" i="12"/>
  <c r="Q167" i="12"/>
  <c r="AA165" i="12"/>
  <c r="Z165" i="12"/>
  <c r="Y165" i="12"/>
  <c r="X165" i="12"/>
  <c r="W165" i="12"/>
  <c r="V165" i="12"/>
  <c r="U165" i="12"/>
  <c r="T165" i="12"/>
  <c r="S165" i="12"/>
  <c r="R165" i="12"/>
  <c r="Q165" i="12"/>
  <c r="P165" i="12"/>
  <c r="AA164" i="12"/>
  <c r="Z164" i="12"/>
  <c r="Y164" i="12"/>
  <c r="X164" i="12"/>
  <c r="W164" i="12"/>
  <c r="V164" i="12"/>
  <c r="U164" i="12"/>
  <c r="T164" i="12"/>
  <c r="S164" i="12"/>
  <c r="R164" i="12"/>
  <c r="Q164" i="12"/>
  <c r="AA163" i="12"/>
  <c r="Z163" i="12"/>
  <c r="Y163" i="12"/>
  <c r="X163" i="12"/>
  <c r="W163" i="12"/>
  <c r="V163" i="12"/>
  <c r="U163" i="12"/>
  <c r="T163" i="12"/>
  <c r="S163" i="12"/>
  <c r="R163" i="12"/>
  <c r="Q163" i="12"/>
  <c r="P163" i="12"/>
  <c r="P162" i="12"/>
  <c r="AA161" i="12"/>
  <c r="Z161" i="12"/>
  <c r="Y161" i="12"/>
  <c r="X161" i="12"/>
  <c r="W161" i="12"/>
  <c r="V161" i="12"/>
  <c r="U161" i="12"/>
  <c r="AA160" i="12"/>
  <c r="Z160" i="12"/>
  <c r="Y160" i="12"/>
  <c r="AA158" i="12"/>
  <c r="Z158" i="12"/>
  <c r="Y158" i="12"/>
  <c r="X158" i="12"/>
  <c r="W158" i="12"/>
  <c r="V158" i="12"/>
  <c r="U158" i="12"/>
  <c r="T158" i="12"/>
  <c r="S158" i="12"/>
  <c r="R158" i="12"/>
  <c r="Q158" i="12"/>
  <c r="P158" i="12"/>
  <c r="AA156" i="12"/>
  <c r="X156" i="12"/>
  <c r="W156" i="12"/>
  <c r="U156" i="12"/>
  <c r="T156" i="12"/>
  <c r="R156" i="12"/>
  <c r="Q156" i="12"/>
  <c r="P156" i="12"/>
  <c r="AA155" i="12"/>
  <c r="Z155" i="12"/>
  <c r="Y155" i="12"/>
  <c r="X155" i="12"/>
  <c r="AA154" i="12"/>
  <c r="Z154" i="12"/>
  <c r="Y154" i="12"/>
  <c r="X154" i="12"/>
  <c r="W154" i="12"/>
  <c r="V154" i="12"/>
  <c r="U154" i="12"/>
  <c r="T154" i="12"/>
  <c r="S154" i="12"/>
  <c r="R154" i="12"/>
  <c r="Q154" i="12"/>
  <c r="P154" i="12"/>
  <c r="AA149" i="12"/>
  <c r="Z149" i="12"/>
  <c r="Y149" i="12"/>
  <c r="X149" i="12"/>
  <c r="W149" i="12"/>
  <c r="V149" i="12"/>
  <c r="U149" i="12"/>
  <c r="T149" i="12"/>
  <c r="S149" i="12"/>
  <c r="R149" i="12"/>
  <c r="Q149" i="12"/>
  <c r="P149" i="12"/>
  <c r="AA148" i="12"/>
  <c r="Z148" i="12"/>
  <c r="Y148" i="12"/>
  <c r="X148" i="12"/>
  <c r="W148" i="12"/>
  <c r="V148" i="12"/>
  <c r="U148" i="12"/>
  <c r="T148" i="12"/>
  <c r="S148" i="12"/>
  <c r="R148" i="12"/>
  <c r="Q148" i="12"/>
  <c r="P148" i="12"/>
  <c r="AA147" i="12"/>
  <c r="Z147" i="12"/>
  <c r="Y147" i="12"/>
  <c r="X147" i="12"/>
  <c r="W147" i="12"/>
  <c r="V147" i="12"/>
  <c r="U147" i="12"/>
  <c r="T147" i="12"/>
  <c r="S147" i="12"/>
  <c r="R147" i="12"/>
  <c r="Q147" i="12"/>
  <c r="P147" i="12"/>
  <c r="AA146" i="12"/>
  <c r="Z146" i="12"/>
  <c r="Y146" i="12"/>
  <c r="X146" i="12"/>
  <c r="W146" i="12"/>
  <c r="V146" i="12"/>
  <c r="U146" i="12"/>
  <c r="T146" i="12"/>
  <c r="S146" i="12"/>
  <c r="R146" i="12"/>
  <c r="Q146" i="12"/>
  <c r="P146" i="12"/>
  <c r="AA145" i="12"/>
  <c r="Z145" i="12"/>
  <c r="Y145" i="12"/>
  <c r="X145" i="12"/>
  <c r="W145" i="12"/>
  <c r="V145" i="12"/>
  <c r="U145" i="12"/>
  <c r="T145" i="12"/>
  <c r="S145" i="12"/>
  <c r="R145" i="12"/>
  <c r="Q145" i="12"/>
  <c r="P145" i="12"/>
  <c r="AA144" i="12"/>
  <c r="Z144" i="12"/>
  <c r="Y144" i="12"/>
  <c r="X144" i="12"/>
  <c r="W144" i="12"/>
  <c r="V144" i="12"/>
  <c r="U144" i="12"/>
  <c r="T144" i="12"/>
  <c r="S144" i="12"/>
  <c r="R144" i="12"/>
  <c r="Q144" i="12"/>
  <c r="P144" i="12"/>
  <c r="Z142" i="12"/>
  <c r="Y142" i="12"/>
  <c r="W142" i="12"/>
  <c r="V142" i="12"/>
  <c r="T142" i="12"/>
  <c r="S142" i="12"/>
  <c r="Q142" i="12"/>
  <c r="P142" i="12"/>
  <c r="AA140" i="12"/>
  <c r="Z140" i="12"/>
  <c r="Y140" i="12"/>
  <c r="X140" i="12"/>
  <c r="W140" i="12"/>
  <c r="V140" i="12"/>
  <c r="U140" i="12"/>
  <c r="T140" i="12"/>
  <c r="Q139" i="12"/>
  <c r="P139" i="12"/>
  <c r="AA138" i="12"/>
  <c r="Z138" i="12"/>
  <c r="Y138" i="12"/>
  <c r="X138" i="12"/>
  <c r="W138" i="12"/>
  <c r="V138" i="12"/>
  <c r="U138" i="12"/>
  <c r="T138" i="12"/>
  <c r="S138" i="12"/>
  <c r="R137" i="12"/>
  <c r="Q137" i="12"/>
  <c r="P137" i="12"/>
  <c r="AA136" i="12"/>
  <c r="Z136" i="12"/>
  <c r="Y136" i="12"/>
  <c r="X136" i="12"/>
  <c r="W136" i="12"/>
  <c r="V136" i="12"/>
  <c r="U136" i="12"/>
  <c r="T136" i="12"/>
  <c r="S136" i="12"/>
  <c r="R136" i="12"/>
  <c r="Q136" i="12"/>
  <c r="P136" i="12"/>
  <c r="AA130" i="12"/>
  <c r="Z130" i="12"/>
  <c r="Y130" i="12"/>
  <c r="X130" i="12"/>
  <c r="W130" i="12"/>
  <c r="V130" i="12"/>
  <c r="U130" i="12"/>
  <c r="T130" i="12"/>
  <c r="S130" i="12"/>
  <c r="R130" i="12"/>
  <c r="Q130" i="12"/>
  <c r="P130" i="12"/>
  <c r="AA129" i="12"/>
  <c r="Z129" i="12"/>
  <c r="Y129" i="12"/>
  <c r="X129" i="12"/>
  <c r="W129" i="12"/>
  <c r="V129" i="12"/>
  <c r="U129" i="12"/>
  <c r="T129" i="12"/>
  <c r="S129" i="12"/>
  <c r="R129" i="12"/>
  <c r="Q129" i="12"/>
  <c r="P129" i="12"/>
  <c r="AA128" i="12"/>
  <c r="Z128" i="12"/>
  <c r="Y128" i="12"/>
  <c r="X128" i="12"/>
  <c r="W128" i="12"/>
  <c r="V128" i="12"/>
  <c r="U128" i="12"/>
  <c r="T128" i="12"/>
  <c r="S128" i="12"/>
  <c r="R128" i="12"/>
  <c r="Q128" i="12"/>
  <c r="P128" i="12"/>
  <c r="AA127" i="12"/>
  <c r="Z127" i="12"/>
  <c r="Y127" i="12"/>
  <c r="X127" i="12"/>
  <c r="W127" i="12"/>
  <c r="V127" i="12"/>
  <c r="U127" i="12"/>
  <c r="T127" i="12"/>
  <c r="S127" i="12"/>
  <c r="R127" i="12"/>
  <c r="Q127" i="12"/>
  <c r="P127" i="12"/>
  <c r="AA125" i="12"/>
  <c r="Z125" i="12"/>
  <c r="Y125" i="12"/>
  <c r="X125" i="12"/>
  <c r="W125" i="12"/>
  <c r="V125" i="12"/>
  <c r="U125" i="12"/>
  <c r="T125" i="12"/>
  <c r="S125" i="12"/>
  <c r="R125" i="12"/>
  <c r="Q125" i="12"/>
  <c r="P125" i="12"/>
  <c r="AA124" i="12"/>
  <c r="V124" i="12"/>
  <c r="U124" i="12"/>
  <c r="Q124" i="12"/>
  <c r="AA122" i="12"/>
  <c r="Z122" i="12"/>
  <c r="Y122" i="12"/>
  <c r="X122" i="12"/>
  <c r="W122" i="12"/>
  <c r="V122" i="12"/>
  <c r="U122" i="12"/>
  <c r="T122" i="12"/>
  <c r="S122" i="12"/>
  <c r="R122" i="12"/>
  <c r="Q122" i="12"/>
  <c r="P122" i="12"/>
  <c r="AA120" i="12"/>
  <c r="Z120" i="12"/>
  <c r="Y120" i="12"/>
  <c r="U120" i="12"/>
  <c r="AA119" i="12"/>
  <c r="Z119" i="12"/>
  <c r="Y119" i="12"/>
  <c r="X119" i="12"/>
  <c r="W119" i="12"/>
  <c r="V119" i="12"/>
  <c r="U119" i="12"/>
  <c r="T119" i="12"/>
  <c r="S119" i="12"/>
  <c r="R119" i="12"/>
  <c r="Q119" i="12"/>
  <c r="P119" i="12"/>
  <c r="AA118" i="12"/>
  <c r="Z118" i="12"/>
  <c r="Y118" i="12"/>
  <c r="X118" i="12"/>
  <c r="W118" i="12"/>
  <c r="V118" i="12"/>
  <c r="U118" i="12"/>
  <c r="T118" i="12"/>
  <c r="S118" i="12"/>
  <c r="R118" i="12"/>
  <c r="Q118" i="12"/>
  <c r="P118" i="12"/>
  <c r="AA116" i="12"/>
  <c r="Z116" i="12"/>
  <c r="Y116" i="12"/>
  <c r="X116" i="12"/>
  <c r="W116" i="12"/>
  <c r="V116" i="12"/>
  <c r="U116" i="12"/>
  <c r="T116" i="12"/>
  <c r="S116" i="12"/>
  <c r="R116" i="12"/>
  <c r="Q116" i="12"/>
  <c r="P116" i="12"/>
  <c r="AA115" i="12"/>
  <c r="Z115" i="12"/>
  <c r="Y115" i="12"/>
  <c r="X115" i="12"/>
  <c r="W115" i="12"/>
  <c r="V115" i="12"/>
  <c r="U115" i="12"/>
  <c r="T115" i="12"/>
  <c r="S115" i="12"/>
  <c r="R115" i="12"/>
  <c r="Q115" i="12"/>
  <c r="P115" i="12"/>
  <c r="AA114" i="12"/>
  <c r="Z114" i="12"/>
  <c r="Y114" i="12"/>
  <c r="X114" i="12"/>
  <c r="W114" i="12"/>
  <c r="V114" i="12"/>
  <c r="U114" i="12"/>
  <c r="T114" i="12"/>
  <c r="S114" i="12"/>
  <c r="R114" i="12"/>
  <c r="Q114" i="12"/>
  <c r="P114" i="12"/>
  <c r="AA113" i="12"/>
  <c r="Z113" i="12"/>
  <c r="Y113" i="12"/>
  <c r="X113" i="12"/>
  <c r="W113" i="12"/>
  <c r="V113" i="12"/>
  <c r="U113" i="12"/>
  <c r="T113" i="12"/>
  <c r="S113" i="12"/>
  <c r="R113" i="12"/>
  <c r="Q113" i="12"/>
  <c r="P113" i="12"/>
  <c r="AA111" i="12"/>
  <c r="Z111" i="12"/>
  <c r="Y111" i="12"/>
  <c r="X111" i="12"/>
  <c r="W111" i="12"/>
  <c r="V111" i="12"/>
  <c r="U111" i="12"/>
  <c r="T111" i="12"/>
  <c r="S111" i="12"/>
  <c r="R111" i="12"/>
  <c r="Q111" i="12"/>
  <c r="P111" i="12"/>
  <c r="AA110" i="12"/>
  <c r="Z110" i="12"/>
  <c r="Y110" i="12"/>
  <c r="X110" i="12"/>
  <c r="W110" i="12"/>
  <c r="V110" i="12"/>
  <c r="U110" i="12"/>
  <c r="T110" i="12"/>
  <c r="S110" i="12"/>
  <c r="R110" i="12"/>
  <c r="Q110" i="12"/>
  <c r="P110" i="12"/>
  <c r="AA109" i="12"/>
  <c r="Z109" i="12"/>
  <c r="Y109" i="12"/>
  <c r="X109" i="12"/>
  <c r="W109" i="12"/>
  <c r="V109" i="12"/>
  <c r="U109" i="12"/>
  <c r="T109" i="12"/>
  <c r="S109" i="12"/>
  <c r="R109" i="12"/>
  <c r="Q109" i="12"/>
  <c r="P109" i="12"/>
  <c r="AA108" i="12"/>
  <c r="Z108" i="12"/>
  <c r="Y108" i="12"/>
  <c r="X108" i="12"/>
  <c r="W108" i="12"/>
  <c r="V108" i="12"/>
  <c r="U108" i="12"/>
  <c r="T108" i="12"/>
  <c r="S108" i="12"/>
  <c r="R108" i="12"/>
  <c r="Q108" i="12"/>
  <c r="P108" i="12"/>
  <c r="AA107" i="12"/>
  <c r="V105" i="12"/>
  <c r="T105" i="12"/>
  <c r="S105" i="12"/>
  <c r="R105" i="12"/>
  <c r="Z104" i="12"/>
  <c r="T104" i="12"/>
  <c r="S104" i="12"/>
  <c r="R104" i="12"/>
  <c r="Q104" i="12"/>
  <c r="P104" i="12"/>
  <c r="AA103" i="12"/>
  <c r="Z103" i="12"/>
  <c r="Y103" i="12"/>
  <c r="X103" i="12"/>
  <c r="W103" i="12"/>
  <c r="V103" i="12"/>
  <c r="U103" i="12"/>
  <c r="T103" i="12"/>
  <c r="S103" i="12"/>
  <c r="R103" i="12"/>
  <c r="Q103" i="12"/>
  <c r="P103" i="12"/>
  <c r="AA102" i="12"/>
  <c r="Z102" i="12"/>
  <c r="Y102" i="12"/>
  <c r="X102" i="12"/>
  <c r="W102" i="12"/>
  <c r="V102" i="12"/>
  <c r="U102" i="12"/>
  <c r="T102" i="12"/>
  <c r="S102" i="12"/>
  <c r="R102" i="12"/>
  <c r="Q102" i="12"/>
  <c r="P102" i="12"/>
  <c r="X101" i="12"/>
  <c r="W101" i="12"/>
  <c r="V101" i="12"/>
  <c r="U101" i="12"/>
  <c r="T101" i="12"/>
  <c r="S101" i="12"/>
  <c r="R101" i="12"/>
  <c r="Q101" i="12"/>
  <c r="P101" i="12"/>
  <c r="AA100" i="12"/>
  <c r="Z100" i="12"/>
  <c r="Y100" i="12"/>
  <c r="X100" i="12"/>
  <c r="W100" i="12"/>
  <c r="V100" i="12"/>
  <c r="U100" i="12"/>
  <c r="T100" i="12"/>
  <c r="S100" i="12"/>
  <c r="R100" i="12"/>
  <c r="Q100" i="12"/>
  <c r="P100" i="12"/>
  <c r="AA99" i="12"/>
  <c r="Z99" i="12"/>
  <c r="Y99" i="12"/>
  <c r="X99" i="12"/>
  <c r="W99" i="12"/>
  <c r="V99" i="12"/>
  <c r="U99" i="12"/>
  <c r="T99" i="12"/>
  <c r="S99" i="12"/>
  <c r="R99" i="12"/>
  <c r="Q99" i="12"/>
  <c r="P99" i="12"/>
  <c r="AA98" i="12"/>
  <c r="Z98" i="12"/>
  <c r="Y98" i="12"/>
  <c r="X98" i="12"/>
  <c r="W98" i="12"/>
  <c r="V98" i="12"/>
  <c r="U98" i="12"/>
  <c r="T98" i="12"/>
  <c r="S98" i="12"/>
  <c r="R98" i="12"/>
  <c r="Q98" i="12"/>
  <c r="P98" i="12"/>
  <c r="AA97" i="12"/>
  <c r="Z97" i="12"/>
  <c r="Y97" i="12"/>
  <c r="X97" i="12"/>
  <c r="W97" i="12"/>
  <c r="V97" i="12"/>
  <c r="U97" i="12"/>
  <c r="T97" i="12"/>
  <c r="S97" i="12"/>
  <c r="R97" i="12"/>
  <c r="Q97" i="12"/>
  <c r="P97" i="12"/>
  <c r="AA96" i="12"/>
  <c r="Z96" i="12"/>
  <c r="Y96" i="12"/>
  <c r="X96" i="12"/>
  <c r="W96" i="12"/>
  <c r="V96" i="12"/>
  <c r="U96" i="12"/>
  <c r="T96" i="12"/>
  <c r="S96" i="12"/>
  <c r="R96" i="12"/>
  <c r="Q96" i="12"/>
  <c r="P96" i="12"/>
  <c r="AA94" i="12"/>
  <c r="Z94" i="12"/>
  <c r="Y94" i="12"/>
  <c r="X94" i="12"/>
  <c r="W94" i="12"/>
  <c r="V94" i="12"/>
  <c r="U94" i="12"/>
  <c r="T94" i="12"/>
  <c r="S94" i="12"/>
  <c r="R94" i="12"/>
  <c r="Q94" i="12"/>
  <c r="P94" i="12"/>
  <c r="AA93" i="12"/>
  <c r="Z93" i="12"/>
  <c r="Y93" i="12"/>
  <c r="X93" i="12"/>
  <c r="W93" i="12"/>
  <c r="V93" i="12"/>
  <c r="U93" i="12"/>
  <c r="T93" i="12"/>
  <c r="S93" i="12"/>
  <c r="R93" i="12"/>
  <c r="Q93" i="12"/>
  <c r="P93" i="12"/>
  <c r="AA92" i="12"/>
  <c r="Z92" i="12"/>
  <c r="Y92" i="12"/>
  <c r="X92" i="12"/>
  <c r="W92" i="12"/>
  <c r="V92" i="12"/>
  <c r="U92" i="12"/>
  <c r="T92" i="12"/>
  <c r="S92" i="12"/>
  <c r="R92" i="12"/>
  <c r="Q92" i="12"/>
  <c r="P92" i="12"/>
  <c r="AA90" i="12"/>
  <c r="Z90" i="12"/>
  <c r="Y90" i="12"/>
  <c r="X90" i="12"/>
  <c r="W90" i="12"/>
  <c r="V90" i="12"/>
  <c r="U90" i="12"/>
  <c r="T90" i="12"/>
  <c r="S90" i="12"/>
  <c r="R90" i="12"/>
  <c r="Q90" i="12"/>
  <c r="P90" i="12"/>
  <c r="U89" i="12"/>
  <c r="T89" i="12"/>
  <c r="X86" i="12"/>
  <c r="AA85" i="12"/>
  <c r="Y85" i="12"/>
  <c r="X85" i="12"/>
  <c r="W85" i="12"/>
  <c r="U85" i="12"/>
  <c r="T85" i="12"/>
  <c r="S85" i="12"/>
  <c r="AA84" i="12"/>
  <c r="Z84" i="12"/>
  <c r="Y84" i="12"/>
  <c r="W84" i="12"/>
  <c r="V84" i="12"/>
  <c r="T84" i="12"/>
  <c r="S84" i="12"/>
  <c r="P84" i="12"/>
  <c r="AA83" i="12"/>
  <c r="Z83" i="12"/>
  <c r="Y83" i="12"/>
  <c r="X83" i="12"/>
  <c r="W83" i="12"/>
  <c r="V83" i="12"/>
  <c r="U83" i="12"/>
  <c r="T83" i="12"/>
  <c r="S83" i="12"/>
  <c r="R83" i="12"/>
  <c r="Q83" i="12"/>
  <c r="P83" i="12"/>
  <c r="U81" i="12"/>
  <c r="U80" i="12"/>
  <c r="S80" i="12"/>
  <c r="R80" i="12"/>
  <c r="Q80" i="12"/>
  <c r="P80" i="12"/>
  <c r="AA77" i="12"/>
  <c r="Z77" i="12"/>
  <c r="Y77" i="12"/>
  <c r="X77" i="12"/>
  <c r="W77" i="12"/>
  <c r="V77" i="12"/>
  <c r="U77" i="12"/>
  <c r="T77" i="12"/>
  <c r="S77" i="12"/>
  <c r="R77" i="12"/>
  <c r="Q77" i="12"/>
  <c r="P77" i="12"/>
  <c r="AA76" i="12"/>
  <c r="Z76" i="12"/>
  <c r="Y76" i="12"/>
  <c r="X76" i="12"/>
  <c r="W76" i="12"/>
  <c r="V76" i="12"/>
  <c r="U76" i="12"/>
  <c r="T76" i="12"/>
  <c r="S76" i="12"/>
  <c r="R76" i="12"/>
  <c r="Q76" i="12"/>
  <c r="P76" i="12"/>
  <c r="AA75" i="12"/>
  <c r="Z75" i="12"/>
  <c r="Y75" i="12"/>
  <c r="X75" i="12"/>
  <c r="W75" i="12"/>
  <c r="V75" i="12"/>
  <c r="U75" i="12"/>
  <c r="T75" i="12"/>
  <c r="S75" i="12"/>
  <c r="R75" i="12"/>
  <c r="Q75" i="12"/>
  <c r="P75" i="12"/>
  <c r="X74" i="12"/>
  <c r="AA73" i="12"/>
  <c r="Z73" i="12"/>
  <c r="Y73" i="12"/>
  <c r="W73" i="12"/>
  <c r="V73" i="12"/>
  <c r="U73" i="12"/>
  <c r="T73" i="12"/>
  <c r="S73" i="12"/>
  <c r="R73" i="12"/>
  <c r="Q73" i="12"/>
  <c r="P73" i="12"/>
  <c r="AA72" i="12"/>
  <c r="Z72" i="12"/>
  <c r="Y72" i="12"/>
  <c r="X72" i="12"/>
  <c r="W72" i="12"/>
  <c r="V72" i="12"/>
  <c r="U72" i="12"/>
  <c r="T72" i="12"/>
  <c r="S72" i="12"/>
  <c r="R72" i="12"/>
  <c r="Q72" i="12"/>
  <c r="P72" i="12"/>
  <c r="AA71" i="12"/>
  <c r="Z71" i="12"/>
  <c r="Y71" i="12"/>
  <c r="X71" i="12"/>
  <c r="W71" i="12"/>
  <c r="V71" i="12"/>
  <c r="U71" i="12"/>
  <c r="T71" i="12"/>
  <c r="S71" i="12"/>
  <c r="R71" i="12"/>
  <c r="Q71" i="12"/>
  <c r="P71" i="12"/>
  <c r="AA70" i="12"/>
  <c r="Z70" i="12"/>
  <c r="Y70" i="12"/>
  <c r="X70" i="12"/>
  <c r="W70" i="12"/>
  <c r="V70" i="12"/>
  <c r="U70" i="12"/>
  <c r="T70" i="12"/>
  <c r="S70" i="12"/>
  <c r="R70" i="12"/>
  <c r="Q70" i="12"/>
  <c r="P70" i="12"/>
  <c r="AA69" i="12"/>
  <c r="Z69" i="12"/>
  <c r="Y69" i="12"/>
  <c r="X69" i="12"/>
  <c r="W69" i="12"/>
  <c r="V69" i="12"/>
  <c r="U69" i="12"/>
  <c r="T69" i="12"/>
  <c r="S69" i="12"/>
  <c r="R69" i="12"/>
  <c r="Q69" i="12"/>
  <c r="P69" i="12"/>
  <c r="AA68" i="12"/>
  <c r="Z68" i="12"/>
  <c r="Y68" i="12"/>
  <c r="X68" i="12"/>
  <c r="W68" i="12"/>
  <c r="V68" i="12"/>
  <c r="U68" i="12"/>
  <c r="T68" i="12"/>
  <c r="S68" i="12"/>
  <c r="R68" i="12"/>
  <c r="Q68" i="12"/>
  <c r="P68" i="12"/>
  <c r="AA66" i="12"/>
  <c r="Z66" i="12"/>
  <c r="Y66" i="12"/>
  <c r="X66" i="12"/>
  <c r="W66" i="12"/>
  <c r="V66" i="12"/>
  <c r="U66" i="12"/>
  <c r="T66" i="12"/>
  <c r="S66" i="12"/>
  <c r="R66" i="12"/>
  <c r="Q66" i="12"/>
  <c r="P66" i="12"/>
  <c r="AA65" i="12"/>
  <c r="Z65" i="12"/>
  <c r="Y65" i="12"/>
  <c r="X65" i="12"/>
  <c r="W65" i="12"/>
  <c r="V65" i="12"/>
  <c r="U65" i="12"/>
  <c r="T65" i="12"/>
  <c r="S65" i="12"/>
  <c r="P65" i="12"/>
  <c r="AA63" i="12"/>
  <c r="Z63" i="12"/>
  <c r="S63" i="12"/>
  <c r="R63" i="12"/>
  <c r="Q63" i="12"/>
  <c r="P63" i="12"/>
  <c r="AA62" i="12"/>
  <c r="Z62" i="12"/>
  <c r="Y62" i="12"/>
  <c r="W62" i="12"/>
  <c r="V62" i="12"/>
  <c r="U62" i="12"/>
  <c r="S62" i="12"/>
  <c r="R62" i="12"/>
  <c r="Q62" i="12"/>
  <c r="AA61" i="12"/>
  <c r="Z61" i="12"/>
  <c r="Y61" i="12"/>
  <c r="X61" i="12"/>
  <c r="W61" i="12"/>
  <c r="V61" i="12"/>
  <c r="U61" i="12"/>
  <c r="T61" i="12"/>
  <c r="S61" i="12"/>
  <c r="R61" i="12"/>
  <c r="Q61" i="12"/>
  <c r="P61" i="12"/>
  <c r="AA60" i="12"/>
  <c r="Z60" i="12"/>
  <c r="Y60" i="12"/>
  <c r="X60" i="12"/>
  <c r="W60" i="12"/>
  <c r="V60" i="12"/>
  <c r="U60" i="12"/>
  <c r="T60" i="12"/>
  <c r="S60" i="12"/>
  <c r="R60" i="12"/>
  <c r="Q60" i="12"/>
  <c r="P60" i="12"/>
  <c r="AA59" i="12"/>
  <c r="Z59" i="12"/>
  <c r="Y59" i="12"/>
  <c r="X59" i="12"/>
  <c r="W59" i="12"/>
  <c r="V59" i="12"/>
  <c r="U59" i="12"/>
  <c r="T59" i="12"/>
  <c r="S59" i="12"/>
  <c r="R59" i="12"/>
  <c r="Q59" i="12"/>
  <c r="P59" i="12"/>
  <c r="AA58" i="12"/>
  <c r="Z58" i="12"/>
  <c r="Y58" i="12"/>
  <c r="X58" i="12"/>
  <c r="W58" i="12"/>
  <c r="V58" i="12"/>
  <c r="U58" i="12"/>
  <c r="T58" i="12"/>
  <c r="S58" i="12"/>
  <c r="R58" i="12"/>
  <c r="Q58" i="12"/>
  <c r="P58" i="12"/>
  <c r="AA56" i="12"/>
  <c r="Z56" i="12"/>
  <c r="Y56" i="12"/>
  <c r="X56" i="12"/>
  <c r="W56" i="12"/>
  <c r="V56" i="12"/>
  <c r="U56" i="12"/>
  <c r="T56" i="12"/>
  <c r="S56" i="12"/>
  <c r="R56" i="12"/>
  <c r="Q56" i="12"/>
  <c r="P56" i="12"/>
  <c r="AA55" i="12"/>
  <c r="Z55" i="12"/>
  <c r="Y55" i="12"/>
  <c r="X55" i="12"/>
  <c r="W55" i="12"/>
  <c r="V55" i="12"/>
  <c r="U55" i="12"/>
  <c r="T55" i="12"/>
  <c r="S55" i="12"/>
  <c r="R55" i="12"/>
  <c r="Q55" i="12"/>
  <c r="P55" i="12"/>
  <c r="AA54" i="12"/>
  <c r="Z54" i="12"/>
  <c r="Y54" i="12"/>
  <c r="X54" i="12"/>
  <c r="W54" i="12"/>
  <c r="V54" i="12"/>
  <c r="U54" i="12"/>
  <c r="T54" i="12"/>
  <c r="S54" i="12"/>
  <c r="R54" i="12"/>
  <c r="Q54" i="12"/>
  <c r="P54" i="12"/>
  <c r="AA53" i="12"/>
  <c r="Z53" i="12"/>
  <c r="Y53" i="12"/>
  <c r="X53" i="12"/>
  <c r="W53" i="12"/>
  <c r="V53" i="12"/>
  <c r="U53" i="12"/>
  <c r="T53" i="12"/>
  <c r="S53" i="12"/>
  <c r="R53" i="12"/>
  <c r="Q53" i="12"/>
  <c r="P53" i="12"/>
  <c r="AA51" i="12"/>
  <c r="Z51" i="12"/>
  <c r="Y51" i="12"/>
  <c r="X51" i="12"/>
  <c r="W51" i="12"/>
  <c r="V51" i="12"/>
  <c r="U51" i="12"/>
  <c r="T51" i="12"/>
  <c r="S51" i="12"/>
  <c r="R51" i="12"/>
  <c r="Q51" i="12"/>
  <c r="P51" i="12"/>
  <c r="AA50" i="12"/>
  <c r="Z50" i="12"/>
  <c r="Y50" i="12"/>
  <c r="X50" i="12"/>
  <c r="W50" i="12"/>
  <c r="V50" i="12"/>
  <c r="U50" i="12"/>
  <c r="T50" i="12"/>
  <c r="S50" i="12"/>
  <c r="R50" i="12"/>
  <c r="Q50" i="12"/>
  <c r="P50" i="12"/>
  <c r="AA45" i="12"/>
  <c r="Z45" i="12"/>
  <c r="Y45" i="12"/>
  <c r="X45" i="12"/>
  <c r="W45" i="12"/>
  <c r="V45" i="12"/>
  <c r="U45" i="12"/>
  <c r="T45" i="12"/>
  <c r="S45" i="12"/>
  <c r="R45" i="12"/>
  <c r="Q45" i="12"/>
  <c r="P45" i="12"/>
  <c r="AA44" i="12"/>
  <c r="AA43" i="12"/>
  <c r="Z43" i="12"/>
  <c r="Y43" i="12"/>
  <c r="X43" i="12"/>
  <c r="W43" i="12"/>
  <c r="V43" i="12"/>
  <c r="U43" i="12"/>
  <c r="T43" i="12"/>
  <c r="S43" i="12"/>
  <c r="R43" i="12"/>
  <c r="Q43" i="12"/>
  <c r="P43" i="12"/>
  <c r="V42" i="12"/>
  <c r="U42" i="12"/>
  <c r="T42" i="12"/>
  <c r="S42" i="12"/>
  <c r="R42" i="12"/>
  <c r="Q42" i="12"/>
  <c r="P42" i="12"/>
  <c r="T39" i="12"/>
  <c r="S39" i="12"/>
  <c r="R39" i="12"/>
  <c r="Q39" i="12"/>
  <c r="P39" i="12"/>
  <c r="AA38" i="12"/>
  <c r="Z38" i="12"/>
  <c r="Y38" i="12"/>
  <c r="X38" i="12"/>
  <c r="W38" i="12"/>
  <c r="V38" i="12"/>
  <c r="U38" i="12"/>
  <c r="T38" i="12"/>
  <c r="S38" i="12"/>
  <c r="R38" i="12"/>
  <c r="Q38" i="12"/>
  <c r="P38" i="12"/>
  <c r="AA37" i="12"/>
  <c r="Z37" i="12"/>
  <c r="Y37" i="12"/>
  <c r="X37" i="12"/>
  <c r="W37" i="12"/>
  <c r="V37" i="12"/>
  <c r="U37" i="12"/>
  <c r="T37" i="12"/>
  <c r="S37" i="12"/>
  <c r="R37" i="12"/>
  <c r="Q37" i="12"/>
  <c r="P37" i="12"/>
  <c r="AA36" i="12"/>
  <c r="Z36" i="12"/>
  <c r="Y36" i="12"/>
  <c r="X36" i="12"/>
  <c r="W36" i="12"/>
  <c r="V36" i="12"/>
  <c r="U36" i="12"/>
  <c r="T36" i="12"/>
  <c r="S36" i="12"/>
  <c r="R36" i="12"/>
  <c r="Q36" i="12"/>
  <c r="P36" i="12"/>
  <c r="AA35" i="12"/>
  <c r="Z35" i="12"/>
  <c r="Y35" i="12"/>
  <c r="X35" i="12"/>
  <c r="W35" i="12"/>
  <c r="V35" i="12"/>
  <c r="U35" i="12"/>
  <c r="T35" i="12"/>
  <c r="S35" i="12"/>
  <c r="R35" i="12"/>
  <c r="Q35" i="12"/>
  <c r="P35" i="12"/>
  <c r="AA34" i="12"/>
  <c r="Z34" i="12"/>
  <c r="Y34" i="12"/>
  <c r="X34" i="12"/>
  <c r="W34" i="12"/>
  <c r="V34" i="12"/>
  <c r="U34" i="12"/>
  <c r="T34" i="12"/>
  <c r="S34" i="12"/>
  <c r="R34" i="12"/>
  <c r="Q34" i="12"/>
  <c r="P34" i="12"/>
  <c r="AA32" i="12"/>
  <c r="Z32" i="12"/>
  <c r="Y32" i="12"/>
  <c r="X32" i="12"/>
  <c r="W32" i="12"/>
  <c r="V32" i="12"/>
  <c r="U32" i="12"/>
  <c r="T32" i="12"/>
  <c r="S32" i="12"/>
  <c r="R32" i="12"/>
  <c r="Q32" i="12"/>
  <c r="P32" i="12"/>
  <c r="AA28" i="12"/>
  <c r="Z28" i="12"/>
  <c r="Y28" i="12"/>
  <c r="X28" i="12"/>
  <c r="W28" i="12"/>
  <c r="V28" i="12"/>
  <c r="U28" i="12"/>
  <c r="T28" i="12"/>
  <c r="S28" i="12"/>
  <c r="R28" i="12"/>
  <c r="Q28" i="12"/>
  <c r="P28" i="12"/>
  <c r="D30" i="12"/>
  <c r="B8" i="26" s="1"/>
  <c r="E30" i="12"/>
  <c r="C8" i="26" s="1"/>
  <c r="F30" i="12"/>
  <c r="D8" i="26" s="1"/>
  <c r="G30" i="12"/>
  <c r="E8" i="26" s="1"/>
  <c r="H30" i="12"/>
  <c r="F8" i="26" s="1"/>
  <c r="I30" i="12"/>
  <c r="G8" i="26" s="1"/>
  <c r="J30" i="12"/>
  <c r="H8" i="26" s="1"/>
  <c r="K30" i="12"/>
  <c r="I8" i="26" s="1"/>
  <c r="L30" i="12"/>
  <c r="J8" i="26" s="1"/>
  <c r="M30" i="12"/>
  <c r="K8" i="26" s="1"/>
  <c r="N30" i="12"/>
  <c r="L8" i="26" s="1"/>
  <c r="O30" i="12"/>
  <c r="M8" i="26" s="1"/>
  <c r="D32" i="12"/>
  <c r="E32" i="12"/>
  <c r="F32" i="12"/>
  <c r="G32" i="12"/>
  <c r="H32" i="12"/>
  <c r="I32" i="12"/>
  <c r="J32" i="12"/>
  <c r="K32" i="12"/>
  <c r="L32" i="12"/>
  <c r="M32" i="12"/>
  <c r="N32" i="12"/>
  <c r="O32" i="12"/>
  <c r="D34" i="12"/>
  <c r="E34" i="12"/>
  <c r="F34" i="12"/>
  <c r="G34" i="12"/>
  <c r="H34" i="12"/>
  <c r="I34" i="12"/>
  <c r="J34" i="12"/>
  <c r="K34" i="12"/>
  <c r="L34" i="12"/>
  <c r="M34" i="12"/>
  <c r="N34" i="12"/>
  <c r="O34" i="12"/>
  <c r="D35" i="12"/>
  <c r="E35" i="12"/>
  <c r="F35" i="12"/>
  <c r="G35" i="12"/>
  <c r="H35" i="12"/>
  <c r="I35" i="12"/>
  <c r="J35" i="12"/>
  <c r="K35" i="12"/>
  <c r="L35" i="12"/>
  <c r="M35" i="12"/>
  <c r="N35" i="12"/>
  <c r="O35" i="12"/>
  <c r="D36" i="12"/>
  <c r="E36" i="12"/>
  <c r="F36" i="12"/>
  <c r="G36" i="12"/>
  <c r="H36" i="12"/>
  <c r="I36" i="12"/>
  <c r="J36" i="12"/>
  <c r="K36" i="12"/>
  <c r="L36" i="12"/>
  <c r="M36" i="12"/>
  <c r="N36" i="12"/>
  <c r="O36" i="12"/>
  <c r="D37" i="12"/>
  <c r="E37" i="12"/>
  <c r="F37" i="12"/>
  <c r="G37" i="12"/>
  <c r="H37" i="12"/>
  <c r="I37" i="12"/>
  <c r="J37" i="12"/>
  <c r="K37" i="12"/>
  <c r="L37" i="12"/>
  <c r="M37" i="12"/>
  <c r="N37" i="12"/>
  <c r="O37" i="12"/>
  <c r="D38" i="12"/>
  <c r="E38" i="12"/>
  <c r="F38" i="12"/>
  <c r="G38" i="12"/>
  <c r="H38" i="12"/>
  <c r="I38" i="12"/>
  <c r="J38" i="12"/>
  <c r="K38" i="12"/>
  <c r="L38" i="12"/>
  <c r="M38" i="12"/>
  <c r="N38" i="12"/>
  <c r="O38" i="12"/>
  <c r="D39" i="12"/>
  <c r="E39" i="12"/>
  <c r="F39" i="12"/>
  <c r="G39" i="12"/>
  <c r="H39" i="12"/>
  <c r="I39" i="12"/>
  <c r="J39" i="12"/>
  <c r="K39" i="12"/>
  <c r="L39" i="12"/>
  <c r="M39" i="12"/>
  <c r="O39" i="12"/>
  <c r="D40" i="12"/>
  <c r="F40" i="12"/>
  <c r="J40" i="12"/>
  <c r="K40" i="12"/>
  <c r="L40" i="12"/>
  <c r="M40" i="12"/>
  <c r="N40" i="12"/>
  <c r="O40" i="12"/>
  <c r="D42" i="12"/>
  <c r="E42" i="12"/>
  <c r="F42" i="12"/>
  <c r="G42" i="12"/>
  <c r="H42" i="12"/>
  <c r="I42" i="12"/>
  <c r="J42" i="12"/>
  <c r="K42" i="12"/>
  <c r="L42" i="12"/>
  <c r="M42" i="12"/>
  <c r="N42" i="12"/>
  <c r="O42" i="12"/>
  <c r="D43" i="12"/>
  <c r="E43" i="12"/>
  <c r="F43" i="12"/>
  <c r="G43" i="12"/>
  <c r="H43" i="12"/>
  <c r="I43" i="12"/>
  <c r="J43" i="12"/>
  <c r="K43" i="12"/>
  <c r="L43" i="12"/>
  <c r="M43" i="12"/>
  <c r="N43" i="12"/>
  <c r="O43" i="12"/>
  <c r="D44" i="12"/>
  <c r="E44" i="12"/>
  <c r="F44" i="12"/>
  <c r="G44" i="12"/>
  <c r="H44" i="12"/>
  <c r="I44" i="12"/>
  <c r="J44" i="12"/>
  <c r="K44" i="12"/>
  <c r="L44" i="12"/>
  <c r="M44" i="12"/>
  <c r="N44" i="12"/>
  <c r="O44" i="12"/>
  <c r="D45" i="12"/>
  <c r="E45" i="12"/>
  <c r="F45" i="12"/>
  <c r="G45" i="12"/>
  <c r="H45" i="12"/>
  <c r="I45" i="12"/>
  <c r="J45" i="12"/>
  <c r="K45" i="12"/>
  <c r="L45" i="12"/>
  <c r="M45" i="12"/>
  <c r="N45" i="12"/>
  <c r="O45" i="12"/>
  <c r="D50" i="12"/>
  <c r="E50" i="12"/>
  <c r="F50" i="12"/>
  <c r="G50" i="12"/>
  <c r="H50" i="12"/>
  <c r="I50" i="12"/>
  <c r="J50" i="12"/>
  <c r="K50" i="12"/>
  <c r="L50" i="12"/>
  <c r="M50" i="12"/>
  <c r="N50" i="12"/>
  <c r="O50" i="12"/>
  <c r="G51" i="12"/>
  <c r="I51" i="12"/>
  <c r="D52" i="12"/>
  <c r="E52" i="12"/>
  <c r="F52" i="12"/>
  <c r="G52" i="12"/>
  <c r="H52" i="12"/>
  <c r="I52" i="12"/>
  <c r="J52" i="12"/>
  <c r="K52" i="12"/>
  <c r="L52" i="12"/>
  <c r="M52" i="12"/>
  <c r="N52" i="12"/>
  <c r="O52" i="12"/>
  <c r="D53" i="12"/>
  <c r="E53" i="12"/>
  <c r="F53" i="12"/>
  <c r="G53" i="12"/>
  <c r="H53" i="12"/>
  <c r="I53" i="12"/>
  <c r="J53" i="12"/>
  <c r="N53" i="12"/>
  <c r="O53" i="12"/>
  <c r="D54" i="12"/>
  <c r="E54" i="12"/>
  <c r="F54" i="12"/>
  <c r="G54" i="12"/>
  <c r="H54" i="12"/>
  <c r="I54" i="12"/>
  <c r="J54" i="12"/>
  <c r="K54" i="12"/>
  <c r="L54" i="12"/>
  <c r="M54" i="12"/>
  <c r="N54" i="12"/>
  <c r="O54" i="12"/>
  <c r="D55" i="12"/>
  <c r="F55" i="12"/>
  <c r="J55" i="12"/>
  <c r="K55" i="12"/>
  <c r="L55" i="12"/>
  <c r="M55" i="12"/>
  <c r="N55" i="12"/>
  <c r="O55" i="12"/>
  <c r="D56" i="12"/>
  <c r="E56" i="12"/>
  <c r="F56" i="12"/>
  <c r="G56" i="12"/>
  <c r="H56" i="12"/>
  <c r="I56" i="12"/>
  <c r="J56" i="12"/>
  <c r="K56" i="12"/>
  <c r="L56" i="12"/>
  <c r="M56" i="12"/>
  <c r="N56" i="12"/>
  <c r="O56" i="12"/>
  <c r="D58" i="12"/>
  <c r="E58" i="12"/>
  <c r="F58" i="12"/>
  <c r="G58" i="12"/>
  <c r="H58" i="12"/>
  <c r="I58" i="12"/>
  <c r="J58" i="12"/>
  <c r="K58" i="12"/>
  <c r="L58" i="12"/>
  <c r="M58" i="12"/>
  <c r="N58" i="12"/>
  <c r="O58" i="12"/>
  <c r="D59" i="12"/>
  <c r="E59" i="12"/>
  <c r="F59" i="12"/>
  <c r="G59" i="12"/>
  <c r="H59" i="12"/>
  <c r="I59" i="12"/>
  <c r="J59" i="12"/>
  <c r="K59" i="12"/>
  <c r="L59" i="12"/>
  <c r="M59" i="12"/>
  <c r="N59" i="12"/>
  <c r="O59" i="12"/>
  <c r="D60" i="12"/>
  <c r="E60" i="12"/>
  <c r="F60" i="12"/>
  <c r="G60" i="12"/>
  <c r="H60" i="12"/>
  <c r="I60" i="12"/>
  <c r="J60" i="12"/>
  <c r="K60" i="12"/>
  <c r="L60" i="12"/>
  <c r="M60" i="12"/>
  <c r="N60" i="12"/>
  <c r="O60" i="12"/>
  <c r="D61" i="12"/>
  <c r="F61" i="12"/>
  <c r="G61" i="12"/>
  <c r="H61" i="12"/>
  <c r="I61" i="12"/>
  <c r="J61" i="12"/>
  <c r="K61" i="12"/>
  <c r="L61" i="12"/>
  <c r="M61" i="12"/>
  <c r="N61" i="12"/>
  <c r="O61" i="12"/>
  <c r="D62" i="12"/>
  <c r="E62" i="12"/>
  <c r="H62" i="12"/>
  <c r="I62" i="12"/>
  <c r="K62" i="12"/>
  <c r="L62" i="12"/>
  <c r="N62" i="12"/>
  <c r="O62" i="12"/>
  <c r="D63" i="12"/>
  <c r="E63" i="12"/>
  <c r="F63" i="12"/>
  <c r="G63" i="12"/>
  <c r="H63" i="12"/>
  <c r="I63" i="12"/>
  <c r="J63" i="12"/>
  <c r="K63" i="12"/>
  <c r="L63" i="12"/>
  <c r="M63" i="12"/>
  <c r="N63" i="12"/>
  <c r="O63" i="12"/>
  <c r="D64" i="12"/>
  <c r="E64" i="12"/>
  <c r="F64" i="12"/>
  <c r="G64" i="12"/>
  <c r="H64" i="12"/>
  <c r="D65" i="12"/>
  <c r="E65" i="12"/>
  <c r="F65" i="12"/>
  <c r="G65" i="12"/>
  <c r="H65" i="12"/>
  <c r="I65" i="12"/>
  <c r="J65" i="12"/>
  <c r="K65" i="12"/>
  <c r="L65" i="12"/>
  <c r="M65" i="12"/>
  <c r="N65" i="12"/>
  <c r="O65" i="12"/>
  <c r="D66" i="12"/>
  <c r="E66" i="12"/>
  <c r="F66" i="12"/>
  <c r="G66" i="12"/>
  <c r="H66" i="12"/>
  <c r="I66" i="12"/>
  <c r="J66" i="12"/>
  <c r="K66" i="12"/>
  <c r="L66" i="12"/>
  <c r="M66" i="12"/>
  <c r="N66" i="12"/>
  <c r="O66" i="12"/>
  <c r="D67" i="12"/>
  <c r="E67" i="12"/>
  <c r="F67" i="12"/>
  <c r="G67" i="12"/>
  <c r="H67" i="12"/>
  <c r="I67" i="12"/>
  <c r="J67" i="12"/>
  <c r="K67" i="12"/>
  <c r="L67" i="12"/>
  <c r="M67" i="12"/>
  <c r="N67" i="12"/>
  <c r="O67" i="12"/>
  <c r="D68" i="12"/>
  <c r="E68" i="12"/>
  <c r="F68" i="12"/>
  <c r="G68" i="12"/>
  <c r="H68" i="12"/>
  <c r="I68" i="12"/>
  <c r="J68" i="12"/>
  <c r="K68" i="12"/>
  <c r="L68" i="12"/>
  <c r="M68" i="12"/>
  <c r="N68" i="12"/>
  <c r="O68" i="12"/>
  <c r="D69" i="12"/>
  <c r="E69" i="12"/>
  <c r="F69" i="12"/>
  <c r="G69" i="12"/>
  <c r="H69" i="12"/>
  <c r="I69" i="12"/>
  <c r="J69" i="12"/>
  <c r="K69" i="12"/>
  <c r="L69" i="12"/>
  <c r="M69" i="12"/>
  <c r="N69" i="12"/>
  <c r="O69" i="12"/>
  <c r="D70" i="12"/>
  <c r="E70" i="12"/>
  <c r="F70" i="12"/>
  <c r="G70" i="12"/>
  <c r="H70" i="12"/>
  <c r="I70" i="12"/>
  <c r="J70" i="12"/>
  <c r="K70" i="12"/>
  <c r="L70" i="12"/>
  <c r="M70" i="12"/>
  <c r="N70" i="12"/>
  <c r="O70" i="12"/>
  <c r="D71" i="12"/>
  <c r="E71" i="12"/>
  <c r="F71" i="12"/>
  <c r="G71" i="12"/>
  <c r="H71" i="12"/>
  <c r="I71" i="12"/>
  <c r="J71" i="12"/>
  <c r="K71" i="12"/>
  <c r="L71" i="12"/>
  <c r="M71" i="12"/>
  <c r="N71" i="12"/>
  <c r="O71" i="12"/>
  <c r="L72" i="12"/>
  <c r="D73" i="12"/>
  <c r="E73" i="12"/>
  <c r="F73" i="12"/>
  <c r="G73" i="12"/>
  <c r="H73" i="12"/>
  <c r="I73" i="12"/>
  <c r="J73" i="12"/>
  <c r="K73" i="12"/>
  <c r="L73" i="12"/>
  <c r="M73" i="12"/>
  <c r="N73" i="12"/>
  <c r="O73" i="12"/>
  <c r="D74" i="12"/>
  <c r="E74" i="12"/>
  <c r="F74" i="12"/>
  <c r="G74" i="12"/>
  <c r="H74" i="12"/>
  <c r="I74" i="12"/>
  <c r="J74" i="12"/>
  <c r="K74" i="12"/>
  <c r="L74" i="12"/>
  <c r="M74" i="12"/>
  <c r="N74" i="12"/>
  <c r="O74" i="12"/>
  <c r="D75" i="12"/>
  <c r="E75" i="12"/>
  <c r="F75" i="12"/>
  <c r="G75" i="12"/>
  <c r="H75" i="12"/>
  <c r="I75" i="12"/>
  <c r="J75" i="12"/>
  <c r="K75" i="12"/>
  <c r="L75" i="12"/>
  <c r="M75" i="12"/>
  <c r="N75" i="12"/>
  <c r="O75" i="12"/>
  <c r="D76" i="12"/>
  <c r="E76" i="12"/>
  <c r="F76" i="12"/>
  <c r="G76" i="12"/>
  <c r="H76" i="12"/>
  <c r="I76" i="12"/>
  <c r="J76" i="12"/>
  <c r="K76" i="12"/>
  <c r="L76" i="12"/>
  <c r="M76" i="12"/>
  <c r="N76" i="12"/>
  <c r="O76" i="12"/>
  <c r="D77" i="12"/>
  <c r="E77" i="12"/>
  <c r="F77" i="12"/>
  <c r="G77" i="12"/>
  <c r="H77" i="12"/>
  <c r="I77" i="12"/>
  <c r="J77" i="12"/>
  <c r="K77" i="12"/>
  <c r="L77" i="12"/>
  <c r="M77" i="12"/>
  <c r="N77" i="12"/>
  <c r="O77" i="12"/>
  <c r="D78" i="12"/>
  <c r="E78" i="12"/>
  <c r="F78" i="12"/>
  <c r="G78" i="12"/>
  <c r="H78" i="12"/>
  <c r="I78" i="12"/>
  <c r="J78" i="12"/>
  <c r="K78" i="12"/>
  <c r="L78" i="12"/>
  <c r="M78" i="12"/>
  <c r="N78" i="12"/>
  <c r="O78" i="12"/>
  <c r="D79" i="12"/>
  <c r="E79" i="12"/>
  <c r="F79" i="12"/>
  <c r="G79" i="12"/>
  <c r="H79" i="12"/>
  <c r="I79" i="12"/>
  <c r="J79" i="12"/>
  <c r="K79" i="12"/>
  <c r="L79" i="12"/>
  <c r="M79" i="12"/>
  <c r="N79" i="12"/>
  <c r="O79" i="12"/>
  <c r="D80" i="12"/>
  <c r="E80" i="12"/>
  <c r="F80" i="12"/>
  <c r="G80" i="12"/>
  <c r="H80" i="12"/>
  <c r="I80" i="12"/>
  <c r="J80" i="12"/>
  <c r="K80" i="12"/>
  <c r="L80" i="12"/>
  <c r="M80" i="12"/>
  <c r="N80" i="12"/>
  <c r="O80" i="12"/>
  <c r="L81" i="12"/>
  <c r="E82" i="12"/>
  <c r="F83" i="12"/>
  <c r="G83" i="12"/>
  <c r="H83" i="12"/>
  <c r="I83" i="12"/>
  <c r="J83" i="12"/>
  <c r="K83" i="12"/>
  <c r="M83" i="12"/>
  <c r="N83" i="12"/>
  <c r="O83" i="12"/>
  <c r="D84" i="12"/>
  <c r="E84" i="12"/>
  <c r="F84" i="12"/>
  <c r="G84" i="12"/>
  <c r="H84" i="12"/>
  <c r="I84" i="12"/>
  <c r="J84" i="12"/>
  <c r="K84" i="12"/>
  <c r="L84" i="12"/>
  <c r="N84" i="12"/>
  <c r="O84" i="12"/>
  <c r="D86" i="12"/>
  <c r="J88" i="12"/>
  <c r="O88" i="12"/>
  <c r="F89" i="12"/>
  <c r="G89" i="12"/>
  <c r="K89" i="12"/>
  <c r="N89" i="12"/>
  <c r="D90" i="12"/>
  <c r="E90" i="12"/>
  <c r="F90" i="12"/>
  <c r="G90" i="12"/>
  <c r="D93" i="12"/>
  <c r="E93" i="12"/>
  <c r="G93" i="12"/>
  <c r="H93" i="12"/>
  <c r="I93" i="12"/>
  <c r="J93" i="12"/>
  <c r="K93" i="12"/>
  <c r="N93" i="12"/>
  <c r="O93" i="12"/>
  <c r="D94" i="12"/>
  <c r="E94" i="12"/>
  <c r="F94" i="12"/>
  <c r="G94" i="12"/>
  <c r="H94" i="12"/>
  <c r="I94" i="12"/>
  <c r="J94" i="12"/>
  <c r="K94" i="12"/>
  <c r="L94" i="12"/>
  <c r="M94" i="12"/>
  <c r="N94" i="12"/>
  <c r="O94" i="12"/>
  <c r="M96" i="12"/>
  <c r="D97" i="12"/>
  <c r="E97" i="12"/>
  <c r="G97" i="12"/>
  <c r="H97" i="12"/>
  <c r="I97" i="12"/>
  <c r="J97" i="12"/>
  <c r="K97" i="12"/>
  <c r="L97" i="12"/>
  <c r="D98" i="12"/>
  <c r="E98" i="12"/>
  <c r="I98" i="12"/>
  <c r="J98" i="12"/>
  <c r="K98" i="12"/>
  <c r="L98" i="12"/>
  <c r="M98" i="12"/>
  <c r="O98" i="12"/>
  <c r="D99" i="12"/>
  <c r="E99" i="12"/>
  <c r="F99" i="12"/>
  <c r="G99" i="12"/>
  <c r="H99" i="12"/>
  <c r="I99" i="12"/>
  <c r="J99" i="12"/>
  <c r="K99" i="12"/>
  <c r="L99" i="12"/>
  <c r="M99" i="12"/>
  <c r="N99" i="12"/>
  <c r="O99" i="12"/>
  <c r="D100" i="12"/>
  <c r="E100" i="12"/>
  <c r="F100" i="12"/>
  <c r="G100" i="12"/>
  <c r="H100" i="12"/>
  <c r="I100" i="12"/>
  <c r="J100" i="12"/>
  <c r="K100" i="12"/>
  <c r="L100" i="12"/>
  <c r="M100" i="12"/>
  <c r="N100" i="12"/>
  <c r="O100" i="12"/>
  <c r="D101" i="12"/>
  <c r="E101" i="12"/>
  <c r="F101" i="12"/>
  <c r="G101" i="12"/>
  <c r="H101" i="12"/>
  <c r="I101" i="12"/>
  <c r="J101" i="12"/>
  <c r="K101" i="12"/>
  <c r="L101" i="12"/>
  <c r="M101" i="12"/>
  <c r="N101" i="12"/>
  <c r="O101" i="12"/>
  <c r="D102" i="12"/>
  <c r="E102" i="12"/>
  <c r="F102" i="12"/>
  <c r="G102" i="12"/>
  <c r="H102" i="12"/>
  <c r="I102" i="12"/>
  <c r="J102" i="12"/>
  <c r="K102" i="12"/>
  <c r="L102" i="12"/>
  <c r="M102" i="12"/>
  <c r="N102" i="12"/>
  <c r="O102" i="12"/>
  <c r="D103" i="12"/>
  <c r="E103" i="12"/>
  <c r="F103" i="12"/>
  <c r="G103" i="12"/>
  <c r="H103" i="12"/>
  <c r="I103" i="12"/>
  <c r="J103" i="12"/>
  <c r="K103" i="12"/>
  <c r="L103" i="12"/>
  <c r="M103" i="12"/>
  <c r="N103" i="12"/>
  <c r="O103" i="12"/>
  <c r="D104" i="12"/>
  <c r="E104" i="12"/>
  <c r="F104" i="12"/>
  <c r="G104" i="12"/>
  <c r="H104" i="12"/>
  <c r="I104" i="12"/>
  <c r="J104" i="12"/>
  <c r="K104" i="12"/>
  <c r="L104" i="12"/>
  <c r="M104" i="12"/>
  <c r="N104" i="12"/>
  <c r="O104" i="12"/>
  <c r="D105" i="12"/>
  <c r="E105" i="12"/>
  <c r="F105" i="12"/>
  <c r="G105" i="12"/>
  <c r="H105" i="12"/>
  <c r="I105" i="12"/>
  <c r="J105" i="12"/>
  <c r="K105" i="12"/>
  <c r="L105" i="12"/>
  <c r="M105" i="12"/>
  <c r="N105" i="12"/>
  <c r="O105" i="12"/>
  <c r="D106" i="12"/>
  <c r="E106" i="12"/>
  <c r="F106" i="12"/>
  <c r="G106" i="12"/>
  <c r="H106" i="12"/>
  <c r="I106" i="12"/>
  <c r="J106" i="12"/>
  <c r="K106" i="12"/>
  <c r="L106" i="12"/>
  <c r="M106" i="12"/>
  <c r="N106" i="12"/>
  <c r="O106" i="12"/>
  <c r="D107" i="12"/>
  <c r="E107" i="12"/>
  <c r="F107" i="12"/>
  <c r="G107" i="12"/>
  <c r="H107" i="12"/>
  <c r="I107" i="12"/>
  <c r="J107" i="12"/>
  <c r="K107" i="12"/>
  <c r="L107" i="12"/>
  <c r="M107" i="12"/>
  <c r="N107" i="12"/>
  <c r="O107" i="12"/>
  <c r="D108" i="12"/>
  <c r="E108" i="12"/>
  <c r="F108" i="12"/>
  <c r="G108" i="12"/>
  <c r="H108" i="12"/>
  <c r="I108" i="12"/>
  <c r="J108" i="12"/>
  <c r="K108" i="12"/>
  <c r="L108" i="12"/>
  <c r="M108" i="12"/>
  <c r="N108" i="12"/>
  <c r="O108" i="12"/>
  <c r="D109" i="12"/>
  <c r="E109" i="12"/>
  <c r="F109" i="12"/>
  <c r="G109" i="12"/>
  <c r="H109" i="12"/>
  <c r="I109" i="12"/>
  <c r="J109" i="12"/>
  <c r="K109" i="12"/>
  <c r="L109" i="12"/>
  <c r="M109" i="12"/>
  <c r="N109" i="12"/>
  <c r="O109" i="12"/>
  <c r="D110" i="12"/>
  <c r="E110" i="12"/>
  <c r="F110" i="12"/>
  <c r="G110" i="12"/>
  <c r="H110" i="12"/>
  <c r="I110" i="12"/>
  <c r="J110" i="12"/>
  <c r="K110" i="12"/>
  <c r="L110" i="12"/>
  <c r="M110" i="12"/>
  <c r="N110" i="12"/>
  <c r="O110" i="12"/>
  <c r="D111" i="12"/>
  <c r="E111" i="12"/>
  <c r="F111" i="12"/>
  <c r="G111" i="12"/>
  <c r="H111" i="12"/>
  <c r="I111" i="12"/>
  <c r="J111" i="12"/>
  <c r="K111" i="12"/>
  <c r="L111" i="12"/>
  <c r="M111" i="12"/>
  <c r="N111" i="12"/>
  <c r="O111" i="12"/>
  <c r="D113" i="12"/>
  <c r="E113" i="12"/>
  <c r="F113" i="12"/>
  <c r="G113" i="12"/>
  <c r="K113" i="12"/>
  <c r="M113" i="12"/>
  <c r="O113" i="12"/>
  <c r="D114" i="12"/>
  <c r="E114" i="12"/>
  <c r="F114" i="12"/>
  <c r="G114" i="12"/>
  <c r="H114" i="12"/>
  <c r="I114" i="12"/>
  <c r="J114" i="12"/>
  <c r="K114" i="12"/>
  <c r="L114" i="12"/>
  <c r="M114" i="12"/>
  <c r="N114" i="12"/>
  <c r="O114" i="12"/>
  <c r="D115" i="12"/>
  <c r="E115" i="12"/>
  <c r="F115" i="12"/>
  <c r="G115" i="12"/>
  <c r="H115" i="12"/>
  <c r="I115" i="12"/>
  <c r="J115" i="12"/>
  <c r="K115" i="12"/>
  <c r="N115" i="12"/>
  <c r="O115" i="12"/>
  <c r="D118" i="12"/>
  <c r="E118" i="12"/>
  <c r="F118" i="12"/>
  <c r="I118" i="12"/>
  <c r="D119" i="12"/>
  <c r="E119" i="12"/>
  <c r="F119" i="12"/>
  <c r="G119" i="12"/>
  <c r="H119" i="12"/>
  <c r="I119" i="12"/>
  <c r="J119" i="12"/>
  <c r="K119" i="12"/>
  <c r="L119" i="12"/>
  <c r="M119" i="12"/>
  <c r="N119" i="12"/>
  <c r="O119" i="12"/>
  <c r="D120" i="12"/>
  <c r="E120" i="12"/>
  <c r="F120" i="12"/>
  <c r="G120" i="12"/>
  <c r="H120" i="12"/>
  <c r="I120" i="12"/>
  <c r="J120" i="12"/>
  <c r="K120" i="12"/>
  <c r="L120" i="12"/>
  <c r="M120" i="12"/>
  <c r="N120" i="12"/>
  <c r="O120" i="12"/>
  <c r="G121" i="12"/>
  <c r="H121" i="12"/>
  <c r="I121" i="12"/>
  <c r="J121" i="12"/>
  <c r="E122" i="12"/>
  <c r="G122" i="12"/>
  <c r="H122" i="12"/>
  <c r="I122" i="12"/>
  <c r="J122" i="12"/>
  <c r="K122" i="12"/>
  <c r="L122" i="12"/>
  <c r="M122" i="12"/>
  <c r="D123" i="12"/>
  <c r="E123" i="12"/>
  <c r="F123" i="12"/>
  <c r="G123" i="12"/>
  <c r="H123" i="12"/>
  <c r="I123" i="12"/>
  <c r="J123" i="12"/>
  <c r="K123" i="12"/>
  <c r="L123" i="12"/>
  <c r="M123" i="12"/>
  <c r="N123" i="12"/>
  <c r="O123" i="12"/>
  <c r="D124" i="12"/>
  <c r="E124" i="12"/>
  <c r="F124" i="12"/>
  <c r="G124" i="12"/>
  <c r="H124" i="12"/>
  <c r="I124" i="12"/>
  <c r="J124" i="12"/>
  <c r="K124" i="12"/>
  <c r="L124" i="12"/>
  <c r="M124" i="12"/>
  <c r="N124" i="12"/>
  <c r="O124" i="12"/>
  <c r="D125" i="12"/>
  <c r="E125" i="12"/>
  <c r="F125" i="12"/>
  <c r="G125" i="12"/>
  <c r="H125" i="12"/>
  <c r="I125" i="12"/>
  <c r="J125" i="12"/>
  <c r="K125" i="12"/>
  <c r="L125" i="12"/>
  <c r="M125" i="12"/>
  <c r="N125" i="12"/>
  <c r="O125" i="12"/>
  <c r="D126" i="12"/>
  <c r="E126" i="12"/>
  <c r="F126" i="12"/>
  <c r="G126" i="12"/>
  <c r="H126" i="12"/>
  <c r="I126" i="12"/>
  <c r="J126" i="12"/>
  <c r="K126" i="12"/>
  <c r="L126" i="12"/>
  <c r="M126" i="12"/>
  <c r="N126" i="12"/>
  <c r="O126" i="12"/>
  <c r="D127" i="12"/>
  <c r="E127" i="12"/>
  <c r="F127" i="12"/>
  <c r="G127" i="12"/>
  <c r="H127" i="12"/>
  <c r="I127" i="12"/>
  <c r="J127" i="12"/>
  <c r="K127" i="12"/>
  <c r="L127" i="12"/>
  <c r="M127" i="12"/>
  <c r="N127" i="12"/>
  <c r="O127" i="12"/>
  <c r="D128" i="12"/>
  <c r="E128" i="12"/>
  <c r="F128" i="12"/>
  <c r="G128" i="12"/>
  <c r="H128" i="12"/>
  <c r="I128" i="12"/>
  <c r="J128" i="12"/>
  <c r="K128" i="12"/>
  <c r="L128" i="12"/>
  <c r="M128" i="12"/>
  <c r="N128" i="12"/>
  <c r="O128" i="12"/>
  <c r="D129" i="12"/>
  <c r="E129" i="12"/>
  <c r="F129" i="12"/>
  <c r="G129" i="12"/>
  <c r="H129" i="12"/>
  <c r="I129" i="12"/>
  <c r="J129" i="12"/>
  <c r="K129" i="12"/>
  <c r="L129" i="12"/>
  <c r="M129" i="12"/>
  <c r="N129" i="12"/>
  <c r="O129" i="12"/>
  <c r="D130" i="12"/>
  <c r="E130" i="12"/>
  <c r="F130" i="12"/>
  <c r="G130" i="12"/>
  <c r="H130" i="12"/>
  <c r="I130" i="12"/>
  <c r="J130" i="12"/>
  <c r="K130" i="12"/>
  <c r="L130" i="12"/>
  <c r="M130" i="12"/>
  <c r="N130" i="12"/>
  <c r="O130" i="12"/>
  <c r="D131" i="12"/>
  <c r="E131" i="12"/>
  <c r="F131" i="12"/>
  <c r="G131" i="12"/>
  <c r="H131" i="12"/>
  <c r="I131" i="12"/>
  <c r="J131" i="12"/>
  <c r="K131" i="12"/>
  <c r="L131" i="12"/>
  <c r="M131" i="12"/>
  <c r="N131" i="12"/>
  <c r="O131" i="12"/>
  <c r="E132" i="12"/>
  <c r="D133" i="12"/>
  <c r="E133" i="12"/>
  <c r="F133" i="12"/>
  <c r="G133" i="12"/>
  <c r="H133" i="12"/>
  <c r="I133" i="12"/>
  <c r="J133" i="12"/>
  <c r="K133" i="12"/>
  <c r="L133" i="12"/>
  <c r="M133" i="12"/>
  <c r="N133" i="12"/>
  <c r="O133" i="12"/>
  <c r="M134" i="12"/>
  <c r="N136" i="12"/>
  <c r="D137" i="12"/>
  <c r="E137" i="12"/>
  <c r="F137" i="12"/>
  <c r="G137" i="12"/>
  <c r="H137" i="12"/>
  <c r="I137" i="12"/>
  <c r="J137" i="12"/>
  <c r="K137" i="12"/>
  <c r="L137" i="12"/>
  <c r="M137" i="12"/>
  <c r="N137" i="12"/>
  <c r="O137" i="12"/>
  <c r="D139" i="12"/>
  <c r="E139" i="12"/>
  <c r="F139" i="12"/>
  <c r="G139" i="12"/>
  <c r="H139" i="12"/>
  <c r="I139" i="12"/>
  <c r="J139" i="12"/>
  <c r="K139" i="12"/>
  <c r="L139" i="12"/>
  <c r="M139" i="12"/>
  <c r="N139" i="12"/>
  <c r="O139" i="12"/>
  <c r="D140" i="12"/>
  <c r="F140" i="12"/>
  <c r="I140" i="12"/>
  <c r="J140" i="12"/>
  <c r="D142" i="12"/>
  <c r="E142" i="12"/>
  <c r="F142" i="12"/>
  <c r="G142" i="12"/>
  <c r="H142" i="12"/>
  <c r="I142" i="12"/>
  <c r="J142" i="12"/>
  <c r="K142" i="12"/>
  <c r="L142" i="12"/>
  <c r="M142" i="12"/>
  <c r="N142" i="12"/>
  <c r="O142" i="12"/>
  <c r="D144" i="12"/>
  <c r="E144" i="12"/>
  <c r="F144" i="12"/>
  <c r="G144" i="12"/>
  <c r="H144" i="12"/>
  <c r="I144" i="12"/>
  <c r="J144" i="12"/>
  <c r="K144" i="12"/>
  <c r="L144" i="12"/>
  <c r="M144" i="12"/>
  <c r="N144" i="12"/>
  <c r="O144" i="12"/>
  <c r="D145" i="12"/>
  <c r="E145" i="12"/>
  <c r="F145" i="12"/>
  <c r="G145" i="12"/>
  <c r="H145" i="12"/>
  <c r="I145" i="12"/>
  <c r="J145" i="12"/>
  <c r="K145" i="12"/>
  <c r="L145" i="12"/>
  <c r="M145" i="12"/>
  <c r="N145" i="12"/>
  <c r="O145" i="12"/>
  <c r="D146" i="12"/>
  <c r="E146" i="12"/>
  <c r="F146" i="12"/>
  <c r="G146" i="12"/>
  <c r="H146" i="12"/>
  <c r="I146" i="12"/>
  <c r="J146" i="12"/>
  <c r="K146" i="12"/>
  <c r="L146" i="12"/>
  <c r="M146" i="12"/>
  <c r="N146" i="12"/>
  <c r="O146" i="12"/>
  <c r="D147" i="12"/>
  <c r="E147" i="12"/>
  <c r="F147" i="12"/>
  <c r="G147" i="12"/>
  <c r="H147" i="12"/>
  <c r="I147" i="12"/>
  <c r="J147" i="12"/>
  <c r="K147" i="12"/>
  <c r="L147" i="12"/>
  <c r="M147" i="12"/>
  <c r="N147" i="12"/>
  <c r="O147" i="12"/>
  <c r="D148" i="12"/>
  <c r="E148" i="12"/>
  <c r="F148" i="12"/>
  <c r="G148" i="12"/>
  <c r="H148" i="12"/>
  <c r="I148" i="12"/>
  <c r="J148" i="12"/>
  <c r="K148" i="12"/>
  <c r="L148" i="12"/>
  <c r="M148" i="12"/>
  <c r="N148" i="12"/>
  <c r="O148" i="12"/>
  <c r="D149" i="12"/>
  <c r="E149" i="12"/>
  <c r="F149" i="12"/>
  <c r="G149" i="12"/>
  <c r="H149" i="12"/>
  <c r="I149" i="12"/>
  <c r="J149" i="12"/>
  <c r="K149" i="12"/>
  <c r="L149" i="12"/>
  <c r="M149" i="12"/>
  <c r="N149" i="12"/>
  <c r="O149" i="12"/>
  <c r="D154" i="12"/>
  <c r="E154" i="12"/>
  <c r="F154" i="12"/>
  <c r="G154" i="12"/>
  <c r="H154" i="12"/>
  <c r="I154" i="12"/>
  <c r="J154" i="12"/>
  <c r="K154" i="12"/>
  <c r="L154" i="12"/>
  <c r="M154" i="12"/>
  <c r="N154" i="12"/>
  <c r="O154" i="12"/>
  <c r="D155" i="12"/>
  <c r="E155" i="12"/>
  <c r="G155" i="12"/>
  <c r="H155" i="12"/>
  <c r="I155" i="12"/>
  <c r="J155" i="12"/>
  <c r="K155" i="12"/>
  <c r="L155" i="12"/>
  <c r="N155" i="12"/>
  <c r="D156" i="12"/>
  <c r="E156" i="12"/>
  <c r="F156" i="12"/>
  <c r="G156" i="12"/>
  <c r="H156" i="12"/>
  <c r="I156" i="12"/>
  <c r="J156" i="12"/>
  <c r="K156" i="12"/>
  <c r="L156" i="12"/>
  <c r="M156" i="12"/>
  <c r="N156" i="12"/>
  <c r="O156" i="12"/>
  <c r="D158" i="12"/>
  <c r="E158" i="12"/>
  <c r="F158" i="12"/>
  <c r="G158" i="12"/>
  <c r="H158" i="12"/>
  <c r="I158" i="12"/>
  <c r="J158" i="12"/>
  <c r="K158" i="12"/>
  <c r="L158" i="12"/>
  <c r="M158" i="12"/>
  <c r="N158" i="12"/>
  <c r="O158" i="12"/>
  <c r="D159" i="12"/>
  <c r="E159" i="12"/>
  <c r="G159" i="12"/>
  <c r="H159" i="12"/>
  <c r="D160" i="12"/>
  <c r="E160" i="12"/>
  <c r="F160" i="12"/>
  <c r="G160" i="12"/>
  <c r="H160" i="12"/>
  <c r="I160" i="12"/>
  <c r="J160" i="12"/>
  <c r="K160" i="12"/>
  <c r="M160" i="12"/>
  <c r="D162" i="12"/>
  <c r="E162" i="12"/>
  <c r="F162" i="12"/>
  <c r="G162" i="12"/>
  <c r="H162" i="12"/>
  <c r="I162" i="12"/>
  <c r="J162" i="12"/>
  <c r="K162" i="12"/>
  <c r="L162" i="12"/>
  <c r="M162" i="12"/>
  <c r="N162" i="12"/>
  <c r="O162" i="12"/>
  <c r="D163" i="12"/>
  <c r="E163" i="12"/>
  <c r="F163" i="12"/>
  <c r="G163" i="12"/>
  <c r="H163" i="12"/>
  <c r="I163" i="12"/>
  <c r="J163" i="12"/>
  <c r="K163" i="12"/>
  <c r="L163" i="12"/>
  <c r="M163" i="12"/>
  <c r="N163" i="12"/>
  <c r="O163" i="12"/>
  <c r="D164" i="12"/>
  <c r="E164" i="12"/>
  <c r="F164" i="12"/>
  <c r="G164" i="12"/>
  <c r="H164" i="12"/>
  <c r="I164" i="12"/>
  <c r="J164" i="12"/>
  <c r="K164" i="12"/>
  <c r="L164" i="12"/>
  <c r="M164" i="12"/>
  <c r="N164" i="12"/>
  <c r="O164" i="12"/>
  <c r="D165" i="12"/>
  <c r="E165" i="12"/>
  <c r="F165" i="12"/>
  <c r="G165" i="12"/>
  <c r="H165" i="12"/>
  <c r="I165" i="12"/>
  <c r="J165" i="12"/>
  <c r="K165" i="12"/>
  <c r="L165" i="12"/>
  <c r="M165" i="12"/>
  <c r="N165" i="12"/>
  <c r="O165" i="12"/>
  <c r="E166" i="12"/>
  <c r="D167" i="12"/>
  <c r="E167" i="12"/>
  <c r="F167" i="12"/>
  <c r="G167" i="12"/>
  <c r="H167" i="12"/>
  <c r="I167" i="12"/>
  <c r="J167" i="12"/>
  <c r="L167" i="12"/>
  <c r="M167" i="12"/>
  <c r="N167" i="12"/>
  <c r="O167" i="12"/>
  <c r="M168" i="12"/>
  <c r="K26" i="26" s="1"/>
  <c r="E28" i="12"/>
  <c r="F28" i="12"/>
  <c r="G28" i="12"/>
  <c r="H28" i="12"/>
  <c r="I28" i="12"/>
  <c r="J28" i="12"/>
  <c r="K28" i="12"/>
  <c r="L28" i="12"/>
  <c r="M28" i="12"/>
  <c r="N28" i="12"/>
  <c r="O28" i="12"/>
  <c r="D28" i="12"/>
  <c r="AB18" i="11"/>
  <c r="BG18" i="12" s="1"/>
  <c r="AA18" i="11"/>
  <c r="BF18" i="12" s="1"/>
  <c r="Z18" i="11"/>
  <c r="BE18" i="12" s="1"/>
  <c r="Y18" i="11"/>
  <c r="BD18" i="12" s="1"/>
  <c r="X18" i="11"/>
  <c r="BC18" i="12" s="1"/>
  <c r="W18" i="11"/>
  <c r="BB18" i="12" s="1"/>
  <c r="V18" i="11"/>
  <c r="BA18" i="12" s="1"/>
  <c r="U18" i="11"/>
  <c r="AZ18" i="12" s="1"/>
  <c r="T18" i="11"/>
  <c r="AY18" i="12" s="1"/>
  <c r="S18" i="11"/>
  <c r="AX18" i="12" s="1"/>
  <c r="R18" i="11"/>
  <c r="AW18" i="12" s="1"/>
  <c r="Q18" i="11"/>
  <c r="AV18" i="12" s="1"/>
  <c r="P18" i="11"/>
  <c r="AU18" i="12" s="1"/>
  <c r="O18" i="11"/>
  <c r="AT18" i="12" s="1"/>
  <c r="N18" i="11"/>
  <c r="AS18" i="12" s="1"/>
  <c r="M18" i="11"/>
  <c r="AR18" i="12" s="1"/>
  <c r="L18" i="11"/>
  <c r="AQ18" i="12" s="1"/>
  <c r="K18" i="11"/>
  <c r="AP18" i="12" s="1"/>
  <c r="J18" i="11"/>
  <c r="AO18" i="12" s="1"/>
  <c r="I18" i="11"/>
  <c r="AN18" i="12" s="1"/>
  <c r="H18" i="11"/>
  <c r="AM18" i="12" s="1"/>
  <c r="G18" i="11"/>
  <c r="AL18" i="12" s="1"/>
  <c r="F18" i="11"/>
  <c r="AK18" i="12" s="1"/>
  <c r="E18" i="11"/>
  <c r="AJ18" i="12" s="1"/>
  <c r="D18" i="11"/>
  <c r="AI18" i="12" s="1"/>
  <c r="AB13" i="11"/>
  <c r="BG13" i="12" s="1"/>
  <c r="AA13" i="11"/>
  <c r="BF13" i="12" s="1"/>
  <c r="Z13" i="11"/>
  <c r="BE13" i="12" s="1"/>
  <c r="Y13" i="11"/>
  <c r="BD13" i="12" s="1"/>
  <c r="X13" i="11"/>
  <c r="BC13" i="12" s="1"/>
  <c r="W13" i="11"/>
  <c r="BB13" i="12" s="1"/>
  <c r="V13" i="11"/>
  <c r="BA13" i="12" s="1"/>
  <c r="U13" i="11"/>
  <c r="AZ13" i="12" s="1"/>
  <c r="T13" i="11"/>
  <c r="AY13" i="12" s="1"/>
  <c r="S13" i="11"/>
  <c r="AX13" i="12" s="1"/>
  <c r="R13" i="11"/>
  <c r="AW13" i="12" s="1"/>
  <c r="Q13" i="11"/>
  <c r="AV13" i="12" s="1"/>
  <c r="P13" i="11"/>
  <c r="AU13" i="12" s="1"/>
  <c r="O13" i="11"/>
  <c r="AT13" i="12" s="1"/>
  <c r="N13" i="11"/>
  <c r="AS13" i="12" s="1"/>
  <c r="M13" i="11"/>
  <c r="AR13" i="12" s="1"/>
  <c r="L13" i="11"/>
  <c r="AQ13" i="12" s="1"/>
  <c r="K13" i="11"/>
  <c r="AP13" i="12" s="1"/>
  <c r="J13" i="11"/>
  <c r="AO13" i="12" s="1"/>
  <c r="I13" i="11"/>
  <c r="AN13" i="12" s="1"/>
  <c r="H13" i="11"/>
  <c r="AM13" i="12" s="1"/>
  <c r="G13" i="11"/>
  <c r="AL13" i="12" s="1"/>
  <c r="F13" i="11"/>
  <c r="AK13" i="12" s="1"/>
  <c r="E13" i="11"/>
  <c r="AJ13" i="12" s="1"/>
  <c r="D13" i="11"/>
  <c r="AI13" i="12" s="1"/>
  <c r="C13" i="11"/>
  <c r="AH13" i="12" s="1"/>
  <c r="B13" i="11"/>
  <c r="AG13" i="12" s="1"/>
  <c r="C9" i="11"/>
  <c r="AH9" i="12" s="1"/>
  <c r="D9" i="11"/>
  <c r="AI9" i="12" s="1"/>
  <c r="E9" i="11"/>
  <c r="AJ9" i="12" s="1"/>
  <c r="F9" i="11"/>
  <c r="AK9" i="12" s="1"/>
  <c r="G9" i="11"/>
  <c r="AL9" i="12" s="1"/>
  <c r="H9" i="11"/>
  <c r="AM9" i="12" s="1"/>
  <c r="I9" i="11"/>
  <c r="AN9" i="12" s="1"/>
  <c r="J9" i="11"/>
  <c r="AO9" i="12" s="1"/>
  <c r="K9" i="11"/>
  <c r="AP9" i="12" s="1"/>
  <c r="L9" i="11"/>
  <c r="AQ9" i="12" s="1"/>
  <c r="M9" i="11"/>
  <c r="AR9" i="12" s="1"/>
  <c r="N9" i="11"/>
  <c r="AS9" i="12" s="1"/>
  <c r="O9" i="11"/>
  <c r="AT9" i="12" s="1"/>
  <c r="P9" i="11"/>
  <c r="AU9" i="12" s="1"/>
  <c r="Q9" i="11"/>
  <c r="AV9" i="12" s="1"/>
  <c r="R9" i="11"/>
  <c r="AW9" i="12" s="1"/>
  <c r="S9" i="11"/>
  <c r="AX9" i="12" s="1"/>
  <c r="T9" i="11"/>
  <c r="AY9" i="12" s="1"/>
  <c r="U9" i="11"/>
  <c r="AZ9" i="12" s="1"/>
  <c r="V9" i="11"/>
  <c r="BA9" i="12" s="1"/>
  <c r="W9" i="11"/>
  <c r="BB9" i="12" s="1"/>
  <c r="X9" i="11"/>
  <c r="BC9" i="12" s="1"/>
  <c r="Y9" i="11"/>
  <c r="BD9" i="12" s="1"/>
  <c r="Z9" i="11"/>
  <c r="BE9" i="12" s="1"/>
  <c r="AA9" i="11"/>
  <c r="BF9" i="12" s="1"/>
  <c r="AB9" i="11"/>
  <c r="BG9" i="12" s="1"/>
  <c r="B9" i="11"/>
  <c r="AG9" i="12" s="1"/>
  <c r="M109" i="10"/>
  <c r="BK167" i="12" s="1"/>
  <c r="L109" i="10"/>
  <c r="BJ167" i="12" s="1"/>
  <c r="K109" i="10"/>
  <c r="BI167" i="12" s="1"/>
  <c r="J109" i="10"/>
  <c r="BH167" i="12" s="1"/>
  <c r="I109" i="10"/>
  <c r="BG167" i="12" s="1"/>
  <c r="H109" i="10"/>
  <c r="BF167" i="12" s="1"/>
  <c r="G109" i="10"/>
  <c r="BE167" i="12" s="1"/>
  <c r="F109" i="10"/>
  <c r="BD167" i="12" s="1"/>
  <c r="E109" i="10"/>
  <c r="BC167" i="12" s="1"/>
  <c r="D109" i="10"/>
  <c r="BB167" i="12" s="1"/>
  <c r="C109" i="10"/>
  <c r="BA167" i="12" s="1"/>
  <c r="B109" i="10"/>
  <c r="M107" i="10"/>
  <c r="L107" i="10"/>
  <c r="K107" i="10"/>
  <c r="BI165" i="12" s="1"/>
  <c r="J107" i="10"/>
  <c r="I107" i="10"/>
  <c r="H107" i="10"/>
  <c r="G107" i="10"/>
  <c r="BE165" i="12" s="1"/>
  <c r="F107" i="10"/>
  <c r="E107" i="10"/>
  <c r="D107" i="10"/>
  <c r="C107" i="10"/>
  <c r="BA165" i="12" s="1"/>
  <c r="B107" i="10"/>
  <c r="N106" i="10"/>
  <c r="G104" i="10"/>
  <c r="BE157" i="12" s="1"/>
  <c r="BC24" i="26" s="1"/>
  <c r="H103" i="10"/>
  <c r="BF156" i="12" s="1"/>
  <c r="M102" i="10"/>
  <c r="L102" i="10"/>
  <c r="K102" i="10"/>
  <c r="J102" i="10"/>
  <c r="BH155" i="12" s="1"/>
  <c r="I102" i="10"/>
  <c r="H102" i="10"/>
  <c r="G102" i="10"/>
  <c r="BE155" i="12" s="1"/>
  <c r="F102" i="10"/>
  <c r="BD155" i="12" s="1"/>
  <c r="E102" i="10"/>
  <c r="D102" i="10"/>
  <c r="C102" i="10"/>
  <c r="B102" i="10"/>
  <c r="AZ155" i="12" s="1"/>
  <c r="K98" i="10"/>
  <c r="BI149" i="12" s="1"/>
  <c r="I98" i="10"/>
  <c r="M97" i="10"/>
  <c r="BK148" i="12" s="1"/>
  <c r="L97" i="10"/>
  <c r="BJ148" i="12" s="1"/>
  <c r="K97" i="10"/>
  <c r="BI148" i="12" s="1"/>
  <c r="J97" i="10"/>
  <c r="G97" i="10"/>
  <c r="BE148" i="12" s="1"/>
  <c r="M96" i="10"/>
  <c r="BK147" i="12" s="1"/>
  <c r="L96" i="10"/>
  <c r="BJ147" i="12" s="1"/>
  <c r="K96" i="10"/>
  <c r="BI147" i="12" s="1"/>
  <c r="I96" i="10"/>
  <c r="BG147" i="12" s="1"/>
  <c r="G96" i="10"/>
  <c r="M95" i="10"/>
  <c r="BK146" i="12" s="1"/>
  <c r="L95" i="10"/>
  <c r="BJ146" i="12" s="1"/>
  <c r="K95" i="10"/>
  <c r="BI146" i="12" s="1"/>
  <c r="J95" i="10"/>
  <c r="BH146" i="12" s="1"/>
  <c r="I95" i="10"/>
  <c r="BG146" i="12" s="1"/>
  <c r="H95" i="10"/>
  <c r="BF146" i="12" s="1"/>
  <c r="G95" i="10"/>
  <c r="BE146" i="12" s="1"/>
  <c r="F95" i="10"/>
  <c r="BD146" i="12" s="1"/>
  <c r="E95" i="10"/>
  <c r="BC146" i="12" s="1"/>
  <c r="M91" i="10"/>
  <c r="L91" i="10"/>
  <c r="L92" i="10" s="1"/>
  <c r="BJ133" i="12" s="1"/>
  <c r="K91" i="10"/>
  <c r="K92" i="10" s="1"/>
  <c r="BI133" i="12" s="1"/>
  <c r="J91" i="10"/>
  <c r="J92" i="10" s="1"/>
  <c r="BH133" i="12" s="1"/>
  <c r="I91" i="10"/>
  <c r="H91" i="10"/>
  <c r="H92" i="10" s="1"/>
  <c r="BF133" i="12" s="1"/>
  <c r="G91" i="10"/>
  <c r="F91" i="10"/>
  <c r="E91" i="10"/>
  <c r="D91" i="10"/>
  <c r="C91" i="10"/>
  <c r="C92" i="10" s="1"/>
  <c r="BA133" i="12" s="1"/>
  <c r="B91" i="10"/>
  <c r="I90" i="10"/>
  <c r="I92" i="10" s="1"/>
  <c r="BG133" i="12" s="1"/>
  <c r="G90" i="10"/>
  <c r="F90" i="10"/>
  <c r="E90" i="10"/>
  <c r="E92" i="10" s="1"/>
  <c r="BC133" i="12" s="1"/>
  <c r="D90" i="10"/>
  <c r="C90" i="10"/>
  <c r="B90" i="10"/>
  <c r="M89" i="10"/>
  <c r="M87" i="10"/>
  <c r="M88" i="10" s="1"/>
  <c r="BK131" i="12" s="1"/>
  <c r="L87" i="10"/>
  <c r="L88" i="10" s="1"/>
  <c r="BJ131" i="12" s="1"/>
  <c r="K87" i="10"/>
  <c r="K88" i="10" s="1"/>
  <c r="BI131" i="12" s="1"/>
  <c r="J87" i="10"/>
  <c r="J88" i="10" s="1"/>
  <c r="BH131" i="12" s="1"/>
  <c r="I87" i="10"/>
  <c r="I88" i="10" s="1"/>
  <c r="BG131" i="12" s="1"/>
  <c r="H87" i="10"/>
  <c r="H88" i="10" s="1"/>
  <c r="BF131" i="12" s="1"/>
  <c r="G87" i="10"/>
  <c r="G88" i="10" s="1"/>
  <c r="BE131" i="12" s="1"/>
  <c r="F87" i="10"/>
  <c r="F88" i="10" s="1"/>
  <c r="BD131" i="12" s="1"/>
  <c r="E87" i="10"/>
  <c r="E88" i="10" s="1"/>
  <c r="BC131" i="12" s="1"/>
  <c r="D87" i="10"/>
  <c r="D88" i="10" s="1"/>
  <c r="BB131" i="12" s="1"/>
  <c r="C87" i="10"/>
  <c r="C88" i="10" s="1"/>
  <c r="BA131" i="12" s="1"/>
  <c r="B87" i="10"/>
  <c r="B88" i="10" s="1"/>
  <c r="AZ131" i="12" s="1"/>
  <c r="N86" i="10"/>
  <c r="M84" i="10"/>
  <c r="BK128" i="12" s="1"/>
  <c r="L84" i="10"/>
  <c r="K84" i="10"/>
  <c r="J84" i="10"/>
  <c r="BH128" i="12" s="1"/>
  <c r="I84" i="10"/>
  <c r="BG128" i="12" s="1"/>
  <c r="H84" i="10"/>
  <c r="G84" i="10"/>
  <c r="F84" i="10"/>
  <c r="BD128" i="12" s="1"/>
  <c r="E84" i="10"/>
  <c r="BC128" i="12" s="1"/>
  <c r="D84" i="10"/>
  <c r="C84" i="10"/>
  <c r="B84" i="10"/>
  <c r="AZ128" i="12" s="1"/>
  <c r="N83" i="10"/>
  <c r="M81" i="10"/>
  <c r="BK125" i="12" s="1"/>
  <c r="L81" i="10"/>
  <c r="BJ125" i="12" s="1"/>
  <c r="K81" i="10"/>
  <c r="BI125" i="12" s="1"/>
  <c r="J81" i="10"/>
  <c r="BH125" i="12" s="1"/>
  <c r="I81" i="10"/>
  <c r="BG125" i="12" s="1"/>
  <c r="H81" i="10"/>
  <c r="BF125" i="12" s="1"/>
  <c r="G81" i="10"/>
  <c r="BE125" i="12" s="1"/>
  <c r="F81" i="10"/>
  <c r="BD125" i="12" s="1"/>
  <c r="E81" i="10"/>
  <c r="BC125" i="12" s="1"/>
  <c r="D81" i="10"/>
  <c r="BB125" i="12" s="1"/>
  <c r="C81" i="10"/>
  <c r="BA125" i="12" s="1"/>
  <c r="B81" i="10"/>
  <c r="M80" i="10"/>
  <c r="BK124" i="12" s="1"/>
  <c r="L80" i="10"/>
  <c r="BJ124" i="12" s="1"/>
  <c r="K80" i="10"/>
  <c r="J80" i="10"/>
  <c r="I80" i="10"/>
  <c r="BG124" i="12" s="1"/>
  <c r="H80" i="10"/>
  <c r="BF124" i="12" s="1"/>
  <c r="G80" i="10"/>
  <c r="F80" i="10"/>
  <c r="E80" i="10"/>
  <c r="BC124" i="12" s="1"/>
  <c r="D80" i="10"/>
  <c r="BB124" i="12" s="1"/>
  <c r="C80" i="10"/>
  <c r="B80" i="10"/>
  <c r="AZ124" i="12" s="1"/>
  <c r="N79" i="10"/>
  <c r="M78" i="10"/>
  <c r="BK122" i="12" s="1"/>
  <c r="L78" i="10"/>
  <c r="BJ122" i="12" s="1"/>
  <c r="K78" i="10"/>
  <c r="J78" i="10"/>
  <c r="BH122" i="12" s="1"/>
  <c r="I78" i="10"/>
  <c r="H78" i="10"/>
  <c r="BF122" i="12" s="1"/>
  <c r="G78" i="10"/>
  <c r="F78" i="10"/>
  <c r="BD122" i="12" s="1"/>
  <c r="E78" i="10"/>
  <c r="D78" i="10"/>
  <c r="BB122" i="12" s="1"/>
  <c r="C78" i="10"/>
  <c r="B78" i="10"/>
  <c r="AZ122" i="12" s="1"/>
  <c r="M77" i="10"/>
  <c r="BK121" i="12" s="1"/>
  <c r="L77" i="10"/>
  <c r="BJ121" i="12" s="1"/>
  <c r="K77" i="10"/>
  <c r="BI121" i="12" s="1"/>
  <c r="J77" i="10"/>
  <c r="BH121" i="12" s="1"/>
  <c r="I77" i="10"/>
  <c r="BG121" i="12" s="1"/>
  <c r="H77" i="10"/>
  <c r="BF121" i="12" s="1"/>
  <c r="G77" i="10"/>
  <c r="BE121" i="12" s="1"/>
  <c r="F77" i="10"/>
  <c r="BD121" i="12" s="1"/>
  <c r="E77" i="10"/>
  <c r="BC121" i="12" s="1"/>
  <c r="D77" i="10"/>
  <c r="BB121" i="12" s="1"/>
  <c r="C77" i="10"/>
  <c r="BA121" i="12" s="1"/>
  <c r="B77" i="10"/>
  <c r="M76" i="10"/>
  <c r="BK120" i="12" s="1"/>
  <c r="L76" i="10"/>
  <c r="BJ120" i="12" s="1"/>
  <c r="K76" i="10"/>
  <c r="BI120" i="12" s="1"/>
  <c r="J76" i="10"/>
  <c r="BH120" i="12" s="1"/>
  <c r="I76" i="10"/>
  <c r="BG120" i="12" s="1"/>
  <c r="H76" i="10"/>
  <c r="BF120" i="12" s="1"/>
  <c r="G76" i="10"/>
  <c r="BE120" i="12" s="1"/>
  <c r="F76" i="10"/>
  <c r="BD120" i="12" s="1"/>
  <c r="E76" i="10"/>
  <c r="BC120" i="12" s="1"/>
  <c r="D76" i="10"/>
  <c r="BB120" i="12" s="1"/>
  <c r="C76" i="10"/>
  <c r="BA120" i="12" s="1"/>
  <c r="B76" i="10"/>
  <c r="M75" i="10"/>
  <c r="BK119" i="12" s="1"/>
  <c r="L75" i="10"/>
  <c r="BJ119" i="12" s="1"/>
  <c r="K75" i="10"/>
  <c r="BI119" i="12" s="1"/>
  <c r="J75" i="10"/>
  <c r="I75" i="10"/>
  <c r="BG119" i="12" s="1"/>
  <c r="H75" i="10"/>
  <c r="BF119" i="12" s="1"/>
  <c r="G75" i="10"/>
  <c r="BE119" i="12" s="1"/>
  <c r="F75" i="10"/>
  <c r="BD119" i="12" s="1"/>
  <c r="E75" i="10"/>
  <c r="BC119" i="12" s="1"/>
  <c r="D75" i="10"/>
  <c r="BB119" i="12" s="1"/>
  <c r="C75" i="10"/>
  <c r="BA119" i="12" s="1"/>
  <c r="B75" i="10"/>
  <c r="N74" i="10"/>
  <c r="J73" i="10"/>
  <c r="BH113" i="12" s="1"/>
  <c r="M71" i="10"/>
  <c r="BK111" i="12" s="1"/>
  <c r="L71" i="10"/>
  <c r="BJ111" i="12" s="1"/>
  <c r="K71" i="10"/>
  <c r="BI111" i="12" s="1"/>
  <c r="J71" i="10"/>
  <c r="BH111" i="12" s="1"/>
  <c r="I71" i="10"/>
  <c r="BG111" i="12" s="1"/>
  <c r="H71" i="10"/>
  <c r="BF111" i="12" s="1"/>
  <c r="G71" i="10"/>
  <c r="BE111" i="12" s="1"/>
  <c r="F71" i="10"/>
  <c r="BD111" i="12" s="1"/>
  <c r="E71" i="10"/>
  <c r="BC111" i="12" s="1"/>
  <c r="D71" i="10"/>
  <c r="BB111" i="12" s="1"/>
  <c r="C71" i="10"/>
  <c r="BA111" i="12" s="1"/>
  <c r="B71" i="10"/>
  <c r="G70" i="10"/>
  <c r="BE110" i="12" s="1"/>
  <c r="F70" i="10"/>
  <c r="BD110" i="12" s="1"/>
  <c r="E70" i="10"/>
  <c r="BC110" i="12" s="1"/>
  <c r="D70" i="10"/>
  <c r="C70" i="10"/>
  <c r="BA110" i="12" s="1"/>
  <c r="B70" i="10"/>
  <c r="AZ110" i="12" s="1"/>
  <c r="G69" i="10"/>
  <c r="BE108" i="12" s="1"/>
  <c r="F69" i="10"/>
  <c r="BD108" i="12" s="1"/>
  <c r="E69" i="10"/>
  <c r="BC108" i="12" s="1"/>
  <c r="I68" i="10"/>
  <c r="BG105" i="12" s="1"/>
  <c r="G68" i="10"/>
  <c r="M67" i="10"/>
  <c r="BK104" i="12" s="1"/>
  <c r="L67" i="10"/>
  <c r="K67" i="10"/>
  <c r="J67" i="10"/>
  <c r="BH104" i="12" s="1"/>
  <c r="I67" i="10"/>
  <c r="BG104" i="12" s="1"/>
  <c r="H67" i="10"/>
  <c r="BF104" i="12" s="1"/>
  <c r="G67" i="10"/>
  <c r="BE104" i="12" s="1"/>
  <c r="F67" i="10"/>
  <c r="BD104" i="12" s="1"/>
  <c r="E67" i="10"/>
  <c r="BC104" i="12" s="1"/>
  <c r="D67" i="10"/>
  <c r="BB104" i="12" s="1"/>
  <c r="C67" i="10"/>
  <c r="BA104" i="12" s="1"/>
  <c r="B67" i="10"/>
  <c r="AZ104" i="12" s="1"/>
  <c r="M66" i="10"/>
  <c r="BK103" i="12" s="1"/>
  <c r="L66" i="10"/>
  <c r="BJ103" i="12" s="1"/>
  <c r="K66" i="10"/>
  <c r="BI103" i="12" s="1"/>
  <c r="J66" i="10"/>
  <c r="BH103" i="12" s="1"/>
  <c r="I66" i="10"/>
  <c r="BG103" i="12" s="1"/>
  <c r="H66" i="10"/>
  <c r="BF103" i="12" s="1"/>
  <c r="G66" i="10"/>
  <c r="BE103" i="12" s="1"/>
  <c r="F66" i="10"/>
  <c r="BD103" i="12" s="1"/>
  <c r="E66" i="10"/>
  <c r="BC103" i="12" s="1"/>
  <c r="D66" i="10"/>
  <c r="BB103" i="12" s="1"/>
  <c r="C66" i="10"/>
  <c r="BA103" i="12" s="1"/>
  <c r="B66" i="10"/>
  <c r="L65" i="10"/>
  <c r="BJ102" i="12" s="1"/>
  <c r="K65" i="10"/>
  <c r="BI102" i="12" s="1"/>
  <c r="J65" i="10"/>
  <c r="BH102" i="12" s="1"/>
  <c r="I65" i="10"/>
  <c r="BG102" i="12" s="1"/>
  <c r="H65" i="10"/>
  <c r="BF102" i="12" s="1"/>
  <c r="G65" i="10"/>
  <c r="BE102" i="12" s="1"/>
  <c r="F65" i="10"/>
  <c r="BD102" i="12" s="1"/>
  <c r="E65" i="10"/>
  <c r="D65" i="10"/>
  <c r="BB102" i="12" s="1"/>
  <c r="C64" i="10"/>
  <c r="M63" i="10"/>
  <c r="L63" i="10"/>
  <c r="BJ100" i="12" s="1"/>
  <c r="K63" i="10"/>
  <c r="BI100" i="12" s="1"/>
  <c r="J63" i="10"/>
  <c r="BH100" i="12" s="1"/>
  <c r="I63" i="10"/>
  <c r="BG100" i="12" s="1"/>
  <c r="H63" i="10"/>
  <c r="BF100" i="12" s="1"/>
  <c r="G63" i="10"/>
  <c r="BE100" i="12" s="1"/>
  <c r="F63" i="10"/>
  <c r="BD100" i="12" s="1"/>
  <c r="E63" i="10"/>
  <c r="BC100" i="12" s="1"/>
  <c r="D63" i="10"/>
  <c r="BB100" i="12" s="1"/>
  <c r="C63" i="10"/>
  <c r="BA100" i="12" s="1"/>
  <c r="B63" i="10"/>
  <c r="J62" i="10"/>
  <c r="BH99" i="12" s="1"/>
  <c r="I62" i="10"/>
  <c r="H62" i="10"/>
  <c r="G62" i="10"/>
  <c r="F62" i="10"/>
  <c r="BD99" i="12" s="1"/>
  <c r="E62" i="10"/>
  <c r="BC99" i="12" s="1"/>
  <c r="D62" i="10"/>
  <c r="C62" i="10"/>
  <c r="B62" i="10"/>
  <c r="AZ99" i="12" s="1"/>
  <c r="F61" i="10"/>
  <c r="E61" i="10"/>
  <c r="D61" i="10"/>
  <c r="BB96" i="12" s="1"/>
  <c r="C61" i="10"/>
  <c r="BA96" i="12" s="1"/>
  <c r="B61" i="10"/>
  <c r="AZ96" i="12" s="1"/>
  <c r="J60" i="10"/>
  <c r="BH94" i="12" s="1"/>
  <c r="F60" i="10"/>
  <c r="BD94" i="12" s="1"/>
  <c r="E60" i="10"/>
  <c r="BC94" i="12" s="1"/>
  <c r="B60" i="10"/>
  <c r="M58" i="10"/>
  <c r="BK89" i="12" s="1"/>
  <c r="L58" i="10"/>
  <c r="BJ89" i="12" s="1"/>
  <c r="K58" i="10"/>
  <c r="BI89" i="12" s="1"/>
  <c r="J58" i="10"/>
  <c r="BH89" i="12" s="1"/>
  <c r="I58" i="10"/>
  <c r="BG89" i="12" s="1"/>
  <c r="H58" i="10"/>
  <c r="BF89" i="12" s="1"/>
  <c r="G58" i="10"/>
  <c r="BE89" i="12" s="1"/>
  <c r="F58" i="10"/>
  <c r="BD89" i="12" s="1"/>
  <c r="E58" i="10"/>
  <c r="BC89" i="12" s="1"/>
  <c r="D58" i="10"/>
  <c r="BB89" i="12" s="1"/>
  <c r="C58" i="10"/>
  <c r="BA89" i="12" s="1"/>
  <c r="B58" i="10"/>
  <c r="AZ89" i="12" s="1"/>
  <c r="M57" i="10"/>
  <c r="BK88" i="12" s="1"/>
  <c r="BR88" i="12" s="1"/>
  <c r="BS88" i="12" s="1"/>
  <c r="BT88" i="12" s="1"/>
  <c r="BU88" i="12" s="1"/>
  <c r="BV88" i="12" s="1"/>
  <c r="BW88" i="12" s="1"/>
  <c r="BX88" i="12" s="1"/>
  <c r="BY88" i="12" s="1"/>
  <c r="BZ88" i="12" s="1"/>
  <c r="CA88" i="12" s="1"/>
  <c r="CB88" i="12" s="1"/>
  <c r="CC88" i="12" s="1"/>
  <c r="CD88" i="12" s="1"/>
  <c r="CE88" i="12" s="1"/>
  <c r="CF88" i="12" s="1"/>
  <c r="CG88" i="12" s="1"/>
  <c r="CH88" i="12" s="1"/>
  <c r="CI88" i="12" s="1"/>
  <c r="L57" i="10"/>
  <c r="BJ88" i="12" s="1"/>
  <c r="K57" i="10"/>
  <c r="BI88" i="12" s="1"/>
  <c r="J57" i="10"/>
  <c r="BH88" i="12" s="1"/>
  <c r="I57" i="10"/>
  <c r="BG88" i="12" s="1"/>
  <c r="H57" i="10"/>
  <c r="BF88" i="12" s="1"/>
  <c r="G57" i="10"/>
  <c r="BE88" i="12" s="1"/>
  <c r="F57" i="10"/>
  <c r="BD88" i="12" s="1"/>
  <c r="E57" i="10"/>
  <c r="BC88" i="12" s="1"/>
  <c r="D57" i="10"/>
  <c r="BB88" i="12" s="1"/>
  <c r="C57" i="10"/>
  <c r="BA88" i="12" s="1"/>
  <c r="B57" i="10"/>
  <c r="M55" i="10"/>
  <c r="BK86" i="12" s="1"/>
  <c r="L55" i="10"/>
  <c r="BJ86" i="12" s="1"/>
  <c r="K55" i="10"/>
  <c r="BI86" i="12" s="1"/>
  <c r="J55" i="10"/>
  <c r="BH86" i="12" s="1"/>
  <c r="I55" i="10"/>
  <c r="BG86" i="12" s="1"/>
  <c r="H55" i="10"/>
  <c r="BF86" i="12" s="1"/>
  <c r="G55" i="10"/>
  <c r="BE86" i="12" s="1"/>
  <c r="F55" i="10"/>
  <c r="BD86" i="12" s="1"/>
  <c r="E55" i="10"/>
  <c r="BC86" i="12" s="1"/>
  <c r="D55" i="10"/>
  <c r="BB86" i="12" s="1"/>
  <c r="C55" i="10"/>
  <c r="BA86" i="12" s="1"/>
  <c r="B55" i="10"/>
  <c r="AZ86" i="12" s="1"/>
  <c r="M54" i="10"/>
  <c r="L54" i="10"/>
  <c r="K54" i="10"/>
  <c r="BI85" i="12" s="1"/>
  <c r="J54" i="10"/>
  <c r="BH85" i="12" s="1"/>
  <c r="I54" i="10"/>
  <c r="H54" i="10"/>
  <c r="G54" i="10"/>
  <c r="BE85" i="12" s="1"/>
  <c r="F54" i="10"/>
  <c r="BD85" i="12" s="1"/>
  <c r="E54" i="10"/>
  <c r="D54" i="10"/>
  <c r="C54" i="10"/>
  <c r="BA85" i="12" s="1"/>
  <c r="B54" i="10"/>
  <c r="K53" i="10"/>
  <c r="D53" i="10"/>
  <c r="BB84" i="12" s="1"/>
  <c r="M52" i="10"/>
  <c r="BK83" i="12" s="1"/>
  <c r="L52" i="10"/>
  <c r="BJ83" i="12" s="1"/>
  <c r="K52" i="10"/>
  <c r="BI83" i="12" s="1"/>
  <c r="J52" i="10"/>
  <c r="BH83" i="12" s="1"/>
  <c r="I52" i="10"/>
  <c r="BG83" i="12" s="1"/>
  <c r="H52" i="10"/>
  <c r="BF83" i="12" s="1"/>
  <c r="G52" i="10"/>
  <c r="BE83" i="12" s="1"/>
  <c r="F52" i="10"/>
  <c r="BD83" i="12" s="1"/>
  <c r="C52" i="10"/>
  <c r="BA83" i="12" s="1"/>
  <c r="B52" i="10"/>
  <c r="AZ83" i="12" s="1"/>
  <c r="M51" i="10"/>
  <c r="BK82" i="12" s="1"/>
  <c r="L51" i="10"/>
  <c r="BJ82" i="12" s="1"/>
  <c r="K51" i="10"/>
  <c r="BI82" i="12" s="1"/>
  <c r="J51" i="10"/>
  <c r="BH82" i="12" s="1"/>
  <c r="I51" i="10"/>
  <c r="BG82" i="12" s="1"/>
  <c r="H51" i="10"/>
  <c r="BF82" i="12" s="1"/>
  <c r="G51" i="10"/>
  <c r="BE82" i="12" s="1"/>
  <c r="F51" i="10"/>
  <c r="BD82" i="12" s="1"/>
  <c r="E51" i="10"/>
  <c r="BC82" i="12" s="1"/>
  <c r="D51" i="10"/>
  <c r="BB82" i="12" s="1"/>
  <c r="C51" i="10"/>
  <c r="BA82" i="12" s="1"/>
  <c r="B51" i="10"/>
  <c r="AZ82" i="12" s="1"/>
  <c r="M50" i="10"/>
  <c r="BK81" i="12" s="1"/>
  <c r="L50" i="10"/>
  <c r="BJ81" i="12" s="1"/>
  <c r="K50" i="10"/>
  <c r="BI81" i="12" s="1"/>
  <c r="J50" i="10"/>
  <c r="BH81" i="12" s="1"/>
  <c r="I50" i="10"/>
  <c r="BG81" i="12" s="1"/>
  <c r="H50" i="10"/>
  <c r="BF81" i="12" s="1"/>
  <c r="G50" i="10"/>
  <c r="BE81" i="12" s="1"/>
  <c r="F50" i="10"/>
  <c r="BD81" i="12" s="1"/>
  <c r="E50" i="10"/>
  <c r="BC81" i="12" s="1"/>
  <c r="D50" i="10"/>
  <c r="BB81" i="12" s="1"/>
  <c r="C50" i="10"/>
  <c r="BA81" i="12" s="1"/>
  <c r="B50" i="10"/>
  <c r="AZ81" i="12" s="1"/>
  <c r="M49" i="10"/>
  <c r="BK80" i="12" s="1"/>
  <c r="L49" i="10"/>
  <c r="BJ80" i="12" s="1"/>
  <c r="K49" i="10"/>
  <c r="BI80" i="12" s="1"/>
  <c r="J49" i="10"/>
  <c r="BH80" i="12" s="1"/>
  <c r="I49" i="10"/>
  <c r="BG80" i="12" s="1"/>
  <c r="H49" i="10"/>
  <c r="BF80" i="12" s="1"/>
  <c r="G49" i="10"/>
  <c r="BE80" i="12" s="1"/>
  <c r="F49" i="10"/>
  <c r="BD80" i="12" s="1"/>
  <c r="E49" i="10"/>
  <c r="BC80" i="12" s="1"/>
  <c r="D49" i="10"/>
  <c r="BB80" i="12" s="1"/>
  <c r="C49" i="10"/>
  <c r="BA80" i="12" s="1"/>
  <c r="B49" i="10"/>
  <c r="M47" i="10"/>
  <c r="BK78" i="12" s="1"/>
  <c r="L47" i="10"/>
  <c r="BJ78" i="12" s="1"/>
  <c r="K47" i="10"/>
  <c r="BI78" i="12" s="1"/>
  <c r="J47" i="10"/>
  <c r="BH78" i="12" s="1"/>
  <c r="M46" i="10"/>
  <c r="BK77" i="12" s="1"/>
  <c r="L46" i="10"/>
  <c r="BJ77" i="12" s="1"/>
  <c r="K46" i="10"/>
  <c r="BI77" i="12" s="1"/>
  <c r="J46" i="10"/>
  <c r="BH77" i="12" s="1"/>
  <c r="H46" i="10"/>
  <c r="M45" i="10"/>
  <c r="BK76" i="12" s="1"/>
  <c r="L45" i="10"/>
  <c r="BJ76" i="12" s="1"/>
  <c r="K45" i="10"/>
  <c r="BI76" i="12" s="1"/>
  <c r="J45" i="10"/>
  <c r="BH76" i="12" s="1"/>
  <c r="I45" i="10"/>
  <c r="BG76" i="12" s="1"/>
  <c r="H45" i="10"/>
  <c r="BF76" i="12" s="1"/>
  <c r="G45" i="10"/>
  <c r="BE76" i="12" s="1"/>
  <c r="F45" i="10"/>
  <c r="BD76" i="12" s="1"/>
  <c r="E45" i="10"/>
  <c r="BC76" i="12" s="1"/>
  <c r="D45" i="10"/>
  <c r="BB76" i="12" s="1"/>
  <c r="C45" i="10"/>
  <c r="B45" i="10"/>
  <c r="I44" i="10"/>
  <c r="M43" i="10"/>
  <c r="BK73" i="12" s="1"/>
  <c r="L43" i="10"/>
  <c r="K43" i="10"/>
  <c r="BI73" i="12" s="1"/>
  <c r="J43" i="10"/>
  <c r="I43" i="10"/>
  <c r="H43" i="10"/>
  <c r="BF73" i="12" s="1"/>
  <c r="G43" i="10"/>
  <c r="BE73" i="12" s="1"/>
  <c r="F43" i="10"/>
  <c r="E43" i="10"/>
  <c r="D43" i="10"/>
  <c r="C43" i="10"/>
  <c r="BA73" i="12" s="1"/>
  <c r="B43" i="10"/>
  <c r="M42" i="10"/>
  <c r="BK72" i="12" s="1"/>
  <c r="D41" i="10"/>
  <c r="BB71" i="12" s="1"/>
  <c r="M40" i="10"/>
  <c r="BK69" i="12" s="1"/>
  <c r="L40" i="10"/>
  <c r="BJ69" i="12" s="1"/>
  <c r="K40" i="10"/>
  <c r="J40" i="10"/>
  <c r="I40" i="10"/>
  <c r="BG69" i="12" s="1"/>
  <c r="H40" i="10"/>
  <c r="BF69" i="12" s="1"/>
  <c r="G40" i="10"/>
  <c r="F40" i="10"/>
  <c r="E40" i="10"/>
  <c r="BC69" i="12" s="1"/>
  <c r="D40" i="10"/>
  <c r="BB69" i="12" s="1"/>
  <c r="C40" i="10"/>
  <c r="B40" i="10"/>
  <c r="N39" i="10"/>
  <c r="M37" i="10"/>
  <c r="BK66" i="12" s="1"/>
  <c r="L37" i="10"/>
  <c r="BJ66" i="12" s="1"/>
  <c r="K37" i="10"/>
  <c r="BI66" i="12" s="1"/>
  <c r="J37" i="10"/>
  <c r="BH66" i="12" s="1"/>
  <c r="I37" i="10"/>
  <c r="BG66" i="12" s="1"/>
  <c r="H37" i="10"/>
  <c r="BF66" i="12" s="1"/>
  <c r="G37" i="10"/>
  <c r="BE66" i="12" s="1"/>
  <c r="F37" i="10"/>
  <c r="BD66" i="12" s="1"/>
  <c r="E37" i="10"/>
  <c r="BC66" i="12" s="1"/>
  <c r="D37" i="10"/>
  <c r="BB66" i="12" s="1"/>
  <c r="C37" i="10"/>
  <c r="BA66" i="12" s="1"/>
  <c r="B37" i="10"/>
  <c r="AZ66" i="12" s="1"/>
  <c r="M36" i="10"/>
  <c r="BK65" i="12" s="1"/>
  <c r="L36" i="10"/>
  <c r="BJ65" i="12" s="1"/>
  <c r="K36" i="10"/>
  <c r="BI65" i="12" s="1"/>
  <c r="J36" i="10"/>
  <c r="H36" i="10"/>
  <c r="BF65" i="12" s="1"/>
  <c r="G36" i="10"/>
  <c r="BE65" i="12" s="1"/>
  <c r="E36" i="10"/>
  <c r="BC65" i="12" s="1"/>
  <c r="D36" i="10"/>
  <c r="C36" i="10"/>
  <c r="B36" i="10"/>
  <c r="AZ65" i="12" s="1"/>
  <c r="I35" i="10"/>
  <c r="BG64" i="12" s="1"/>
  <c r="H35" i="10"/>
  <c r="G35" i="10"/>
  <c r="BE64" i="12" s="1"/>
  <c r="F35" i="10"/>
  <c r="E35" i="10"/>
  <c r="BC64" i="12" s="1"/>
  <c r="D35" i="10"/>
  <c r="C35" i="10"/>
  <c r="BA64" i="12" s="1"/>
  <c r="B35" i="10"/>
  <c r="D34" i="10"/>
  <c r="C34" i="10"/>
  <c r="BA63" i="12" s="1"/>
  <c r="B34" i="10"/>
  <c r="AZ63" i="12" s="1"/>
  <c r="L33" i="10"/>
  <c r="H33" i="10"/>
  <c r="BF62" i="12" s="1"/>
  <c r="L32" i="10"/>
  <c r="BJ60" i="12" s="1"/>
  <c r="K32" i="10"/>
  <c r="BI60" i="12" s="1"/>
  <c r="J32" i="10"/>
  <c r="BH60" i="12" s="1"/>
  <c r="I32" i="10"/>
  <c r="BG60" i="12" s="1"/>
  <c r="H32" i="10"/>
  <c r="BF60" i="12" s="1"/>
  <c r="G32" i="10"/>
  <c r="BE60" i="12" s="1"/>
  <c r="F32" i="10"/>
  <c r="BD60" i="12" s="1"/>
  <c r="E32" i="10"/>
  <c r="BC60" i="12" s="1"/>
  <c r="D32" i="10"/>
  <c r="BB60" i="12" s="1"/>
  <c r="C32" i="10"/>
  <c r="BA60" i="12" s="1"/>
  <c r="B32" i="10"/>
  <c r="H31" i="10"/>
  <c r="BF59" i="12" s="1"/>
  <c r="M30" i="10"/>
  <c r="L30" i="10"/>
  <c r="BJ58" i="12" s="1"/>
  <c r="K30" i="10"/>
  <c r="BI58" i="12" s="1"/>
  <c r="J30" i="10"/>
  <c r="BH58" i="12" s="1"/>
  <c r="I30" i="10"/>
  <c r="H30" i="10"/>
  <c r="BF58" i="12" s="1"/>
  <c r="G30" i="10"/>
  <c r="BE58" i="12" s="1"/>
  <c r="F30" i="10"/>
  <c r="BD58" i="12" s="1"/>
  <c r="E30" i="10"/>
  <c r="D30" i="10"/>
  <c r="BB58" i="12" s="1"/>
  <c r="C30" i="10"/>
  <c r="BA58" i="12" s="1"/>
  <c r="B30" i="10"/>
  <c r="M29" i="10"/>
  <c r="BK57" i="12" s="1"/>
  <c r="L29" i="10"/>
  <c r="BJ57" i="12" s="1"/>
  <c r="K29" i="10"/>
  <c r="J29" i="10"/>
  <c r="I29" i="10"/>
  <c r="BG57" i="12" s="1"/>
  <c r="H29" i="10"/>
  <c r="BF57" i="12" s="1"/>
  <c r="G29" i="10"/>
  <c r="F29" i="10"/>
  <c r="E29" i="10"/>
  <c r="BC57" i="12" s="1"/>
  <c r="D29" i="10"/>
  <c r="BB57" i="12" s="1"/>
  <c r="C29" i="10"/>
  <c r="B29" i="10"/>
  <c r="N28" i="10"/>
  <c r="H27" i="10"/>
  <c r="BF55" i="12" s="1"/>
  <c r="G27" i="10"/>
  <c r="BE55" i="12" s="1"/>
  <c r="F27" i="10"/>
  <c r="BD55" i="12" s="1"/>
  <c r="D27" i="10"/>
  <c r="BB55" i="12" s="1"/>
  <c r="C27" i="10"/>
  <c r="BA55" i="12" s="1"/>
  <c r="I26" i="10"/>
  <c r="BG54" i="12" s="1"/>
  <c r="H26" i="10"/>
  <c r="BF54" i="12" s="1"/>
  <c r="E26" i="10"/>
  <c r="BC54" i="12" s="1"/>
  <c r="M25" i="10"/>
  <c r="BK53" i="12" s="1"/>
  <c r="L25" i="10"/>
  <c r="BJ53" i="12" s="1"/>
  <c r="K25" i="10"/>
  <c r="BI53" i="12" s="1"/>
  <c r="J25" i="10"/>
  <c r="BH53" i="12" s="1"/>
  <c r="I25" i="10"/>
  <c r="BG53" i="12" s="1"/>
  <c r="D25" i="10"/>
  <c r="BB53" i="12" s="1"/>
  <c r="C25" i="10"/>
  <c r="BA53" i="12" s="1"/>
  <c r="B25" i="10"/>
  <c r="AZ53" i="12" s="1"/>
  <c r="M21" i="10"/>
  <c r="BK44" i="12" s="1"/>
  <c r="L21" i="10"/>
  <c r="BJ44" i="12" s="1"/>
  <c r="K21" i="10"/>
  <c r="BI44" i="12" s="1"/>
  <c r="J21" i="10"/>
  <c r="BH44" i="12" s="1"/>
  <c r="I21" i="10"/>
  <c r="BG44" i="12" s="1"/>
  <c r="H21" i="10"/>
  <c r="BF44" i="12" s="1"/>
  <c r="G21" i="10"/>
  <c r="BE44" i="12" s="1"/>
  <c r="F21" i="10"/>
  <c r="BD44" i="12" s="1"/>
  <c r="E21" i="10"/>
  <c r="BC44" i="12" s="1"/>
  <c r="D21" i="10"/>
  <c r="BB44" i="12" s="1"/>
  <c r="C21" i="10"/>
  <c r="BA44" i="12" s="1"/>
  <c r="B21" i="10"/>
  <c r="M20" i="10"/>
  <c r="BK43" i="12" s="1"/>
  <c r="L20" i="10"/>
  <c r="BJ43" i="12" s="1"/>
  <c r="K20" i="10"/>
  <c r="BI43" i="12" s="1"/>
  <c r="J20" i="10"/>
  <c r="BH43" i="12" s="1"/>
  <c r="I20" i="10"/>
  <c r="BG43" i="12" s="1"/>
  <c r="H20" i="10"/>
  <c r="BF43" i="12" s="1"/>
  <c r="G20" i="10"/>
  <c r="BE43" i="12" s="1"/>
  <c r="F20" i="10"/>
  <c r="BD43" i="12" s="1"/>
  <c r="E20" i="10"/>
  <c r="BC43" i="12" s="1"/>
  <c r="D20" i="10"/>
  <c r="BB43" i="12" s="1"/>
  <c r="C20" i="10"/>
  <c r="BA43" i="12" s="1"/>
  <c r="B20" i="10"/>
  <c r="M19" i="10"/>
  <c r="BK42" i="12" s="1"/>
  <c r="L19" i="10"/>
  <c r="BJ42" i="12" s="1"/>
  <c r="K19" i="10"/>
  <c r="BI42" i="12" s="1"/>
  <c r="J19" i="10"/>
  <c r="BH42" i="12" s="1"/>
  <c r="I19" i="10"/>
  <c r="BG42" i="12" s="1"/>
  <c r="H19" i="10"/>
  <c r="BF42" i="12" s="1"/>
  <c r="G19" i="10"/>
  <c r="BE42" i="12" s="1"/>
  <c r="F19" i="10"/>
  <c r="BD42" i="12" s="1"/>
  <c r="E19" i="10"/>
  <c r="BC42" i="12" s="1"/>
  <c r="D19" i="10"/>
  <c r="BB42" i="12" s="1"/>
  <c r="C19" i="10"/>
  <c r="BA42" i="12" s="1"/>
  <c r="B19" i="10"/>
  <c r="M17" i="10"/>
  <c r="BK39" i="12" s="1"/>
  <c r="L17" i="10"/>
  <c r="K17" i="10"/>
  <c r="BI39" i="12" s="1"/>
  <c r="J17" i="10"/>
  <c r="BH39" i="12" s="1"/>
  <c r="I17" i="10"/>
  <c r="BG39" i="12" s="1"/>
  <c r="H17" i="10"/>
  <c r="G17" i="10"/>
  <c r="BE39" i="12" s="1"/>
  <c r="F17" i="10"/>
  <c r="BD39" i="12" s="1"/>
  <c r="E17" i="10"/>
  <c r="BC39" i="12" s="1"/>
  <c r="D17" i="10"/>
  <c r="C17" i="10"/>
  <c r="BA39" i="12" s="1"/>
  <c r="B17" i="10"/>
  <c r="M16" i="10"/>
  <c r="L16" i="10"/>
  <c r="BJ38" i="12" s="1"/>
  <c r="K16" i="10"/>
  <c r="BI38" i="12" s="1"/>
  <c r="J16" i="10"/>
  <c r="BH38" i="12" s="1"/>
  <c r="I16" i="10"/>
  <c r="BG38" i="12" s="1"/>
  <c r="H16" i="10"/>
  <c r="BF38" i="12" s="1"/>
  <c r="G16" i="10"/>
  <c r="BE38" i="12" s="1"/>
  <c r="F16" i="10"/>
  <c r="BD38" i="12" s="1"/>
  <c r="E16" i="10"/>
  <c r="BC38" i="12" s="1"/>
  <c r="D16" i="10"/>
  <c r="BB38" i="12" s="1"/>
  <c r="C16" i="10"/>
  <c r="BA38" i="12" s="1"/>
  <c r="B16" i="10"/>
  <c r="M15" i="10"/>
  <c r="BK37" i="12" s="1"/>
  <c r="L15" i="10"/>
  <c r="BJ37" i="12" s="1"/>
  <c r="K15" i="10"/>
  <c r="BI37" i="12" s="1"/>
  <c r="J15" i="10"/>
  <c r="BH37" i="12" s="1"/>
  <c r="I15" i="10"/>
  <c r="BG37" i="12" s="1"/>
  <c r="H15" i="10"/>
  <c r="BF37" i="12" s="1"/>
  <c r="G15" i="10"/>
  <c r="BE37" i="12" s="1"/>
  <c r="F15" i="10"/>
  <c r="BD37" i="12" s="1"/>
  <c r="E15" i="10"/>
  <c r="BC37" i="12" s="1"/>
  <c r="D15" i="10"/>
  <c r="BB37" i="12" s="1"/>
  <c r="C15" i="10"/>
  <c r="BA37" i="12" s="1"/>
  <c r="B15" i="10"/>
  <c r="K14" i="10"/>
  <c r="BI36" i="12" s="1"/>
  <c r="J14" i="10"/>
  <c r="I14" i="10"/>
  <c r="H14" i="10"/>
  <c r="BF36" i="12" s="1"/>
  <c r="G14" i="10"/>
  <c r="BE36" i="12" s="1"/>
  <c r="F14" i="10"/>
  <c r="E14" i="10"/>
  <c r="D14" i="10"/>
  <c r="BB36" i="12" s="1"/>
  <c r="C14" i="10"/>
  <c r="BA36" i="12" s="1"/>
  <c r="B14" i="10"/>
  <c r="M13" i="10"/>
  <c r="BK35" i="12" s="1"/>
  <c r="L13" i="10"/>
  <c r="BJ35" i="12" s="1"/>
  <c r="M12" i="10"/>
  <c r="BK34" i="12" s="1"/>
  <c r="L12" i="10"/>
  <c r="BJ34" i="12" s="1"/>
  <c r="K12" i="10"/>
  <c r="BI34" i="12" s="1"/>
  <c r="J12" i="10"/>
  <c r="BH34" i="12" s="1"/>
  <c r="I12" i="10"/>
  <c r="BG34" i="12" s="1"/>
  <c r="H12" i="10"/>
  <c r="BF34" i="12" s="1"/>
  <c r="G12" i="10"/>
  <c r="BE34" i="12" s="1"/>
  <c r="F12" i="10"/>
  <c r="BD34" i="12" s="1"/>
  <c r="E12" i="10"/>
  <c r="BC34" i="12" s="1"/>
  <c r="D12" i="10"/>
  <c r="BB34" i="12" s="1"/>
  <c r="C12" i="10"/>
  <c r="BA34" i="12" s="1"/>
  <c r="B12" i="10"/>
  <c r="M11" i="10"/>
  <c r="BK33" i="12" s="1"/>
  <c r="L11" i="10"/>
  <c r="K11" i="10"/>
  <c r="BI33" i="12" s="1"/>
  <c r="J11" i="10"/>
  <c r="I11" i="10"/>
  <c r="H11" i="10"/>
  <c r="G11" i="10"/>
  <c r="BE33" i="12" s="1"/>
  <c r="F11" i="10"/>
  <c r="E11" i="10"/>
  <c r="D11" i="10"/>
  <c r="C11" i="10"/>
  <c r="BA33" i="12" s="1"/>
  <c r="B11" i="10"/>
  <c r="K9" i="10"/>
  <c r="M8" i="10"/>
  <c r="BK30" i="12" s="1"/>
  <c r="BI8" i="26" s="1"/>
  <c r="L8" i="10"/>
  <c r="K8" i="10"/>
  <c r="BI30" i="12" s="1"/>
  <c r="BG8" i="26" s="1"/>
  <c r="J8" i="10"/>
  <c r="BH30" i="12" s="1"/>
  <c r="BF8" i="26" s="1"/>
  <c r="I8" i="10"/>
  <c r="BG30" i="12" s="1"/>
  <c r="BE8" i="26" s="1"/>
  <c r="H8" i="10"/>
  <c r="G8" i="10"/>
  <c r="BE30" i="12" s="1"/>
  <c r="BC8" i="26" s="1"/>
  <c r="F8" i="10"/>
  <c r="BD30" i="12" s="1"/>
  <c r="BB8" i="26" s="1"/>
  <c r="E8" i="10"/>
  <c r="BC30" i="12" s="1"/>
  <c r="BA8" i="26" s="1"/>
  <c r="D8" i="10"/>
  <c r="C8" i="10"/>
  <c r="BA30" i="12" s="1"/>
  <c r="AY8" i="26" s="1"/>
  <c r="B8" i="10"/>
  <c r="M7" i="10"/>
  <c r="L7" i="10"/>
  <c r="BJ29" i="12" s="1"/>
  <c r="BH7" i="26" s="1"/>
  <c r="K7" i="10"/>
  <c r="BI29" i="12" s="1"/>
  <c r="BG7" i="26" s="1"/>
  <c r="BG9" i="26" s="1"/>
  <c r="J7" i="10"/>
  <c r="I7" i="10"/>
  <c r="H7" i="10"/>
  <c r="BF29" i="12" s="1"/>
  <c r="BD7" i="26" s="1"/>
  <c r="G7" i="10"/>
  <c r="BE29" i="12" s="1"/>
  <c r="BC7" i="26" s="1"/>
  <c r="BC9" i="26" s="1"/>
  <c r="F7" i="10"/>
  <c r="E7" i="10"/>
  <c r="D7" i="10"/>
  <c r="BB29" i="12" s="1"/>
  <c r="AZ7" i="26" s="1"/>
  <c r="C7" i="10"/>
  <c r="BA29" i="12" s="1"/>
  <c r="AY7" i="26" s="1"/>
  <c r="AY9" i="26" s="1"/>
  <c r="B7" i="10"/>
  <c r="I70" i="9"/>
  <c r="K167" i="12" s="1"/>
  <c r="H69" i="9"/>
  <c r="H71" i="9" s="1"/>
  <c r="J168" i="12" s="1"/>
  <c r="H26" i="26" s="1"/>
  <c r="M68" i="9"/>
  <c r="O161" i="12" s="1"/>
  <c r="L68" i="9"/>
  <c r="N161" i="12" s="1"/>
  <c r="K68" i="9"/>
  <c r="M161" i="12" s="1"/>
  <c r="J68" i="9"/>
  <c r="L161" i="12" s="1"/>
  <c r="I68" i="9"/>
  <c r="K161" i="12" s="1"/>
  <c r="H68" i="9"/>
  <c r="J161" i="12" s="1"/>
  <c r="G68" i="9"/>
  <c r="I161" i="12" s="1"/>
  <c r="F68" i="9"/>
  <c r="E68" i="9"/>
  <c r="E69" i="9" s="1"/>
  <c r="E71" i="9" s="1"/>
  <c r="G168" i="12" s="1"/>
  <c r="E26" i="26" s="1"/>
  <c r="D68" i="9"/>
  <c r="F161" i="12" s="1"/>
  <c r="C68" i="9"/>
  <c r="C69" i="9" s="1"/>
  <c r="C71" i="9" s="1"/>
  <c r="E168" i="12" s="1"/>
  <c r="C26" i="26" s="1"/>
  <c r="B68" i="9"/>
  <c r="D161" i="12" s="1"/>
  <c r="M67" i="9"/>
  <c r="O160" i="12" s="1"/>
  <c r="L67" i="9"/>
  <c r="N160" i="12" s="1"/>
  <c r="K67" i="9"/>
  <c r="J67" i="9"/>
  <c r="M66" i="9"/>
  <c r="O159" i="12" s="1"/>
  <c r="L66" i="9"/>
  <c r="N159" i="12" s="1"/>
  <c r="K66" i="9"/>
  <c r="K69" i="9" s="1"/>
  <c r="K71" i="9" s="1"/>
  <c r="J66" i="9"/>
  <c r="I66" i="9"/>
  <c r="K159" i="12" s="1"/>
  <c r="H66" i="9"/>
  <c r="J159" i="12" s="1"/>
  <c r="G66" i="9"/>
  <c r="G69" i="9" s="1"/>
  <c r="G71" i="9" s="1"/>
  <c r="I168" i="12" s="1"/>
  <c r="G26" i="26" s="1"/>
  <c r="D66" i="9"/>
  <c r="L64" i="9"/>
  <c r="J64" i="9"/>
  <c r="L157" i="12" s="1"/>
  <c r="J24" i="26" s="1"/>
  <c r="I64" i="9"/>
  <c r="K157" i="12" s="1"/>
  <c r="I24" i="26" s="1"/>
  <c r="H64" i="9"/>
  <c r="G64" i="9"/>
  <c r="I157" i="12" s="1"/>
  <c r="G24" i="26" s="1"/>
  <c r="F64" i="9"/>
  <c r="H157" i="12" s="1"/>
  <c r="F24" i="26" s="1"/>
  <c r="E64" i="9"/>
  <c r="G157" i="12" s="1"/>
  <c r="E24" i="26" s="1"/>
  <c r="C64" i="9"/>
  <c r="E157" i="12" s="1"/>
  <c r="C24" i="26" s="1"/>
  <c r="B64" i="9"/>
  <c r="D157" i="12" s="1"/>
  <c r="B24" i="26" s="1"/>
  <c r="M63" i="9"/>
  <c r="O155" i="12" s="1"/>
  <c r="K63" i="9"/>
  <c r="K64" i="9" s="1"/>
  <c r="K72" i="9" s="1"/>
  <c r="M170" i="12" s="1"/>
  <c r="K28" i="26" s="1"/>
  <c r="D63" i="9"/>
  <c r="F155" i="12" s="1"/>
  <c r="G59" i="9"/>
  <c r="N59" i="9" s="1"/>
  <c r="G57" i="9"/>
  <c r="I40" i="12" s="1"/>
  <c r="F57" i="9"/>
  <c r="H40" i="12" s="1"/>
  <c r="E57" i="9"/>
  <c r="G40" i="12" s="1"/>
  <c r="C57" i="9"/>
  <c r="E40" i="12" s="1"/>
  <c r="M56" i="9"/>
  <c r="O141" i="12" s="1"/>
  <c r="L56" i="9"/>
  <c r="N141" i="12" s="1"/>
  <c r="K56" i="9"/>
  <c r="M141" i="12" s="1"/>
  <c r="J56" i="9"/>
  <c r="L141" i="12" s="1"/>
  <c r="I56" i="9"/>
  <c r="K141" i="12" s="1"/>
  <c r="H56" i="9"/>
  <c r="J141" i="12" s="1"/>
  <c r="G56" i="9"/>
  <c r="I141" i="12" s="1"/>
  <c r="F56" i="9"/>
  <c r="H141" i="12" s="1"/>
  <c r="E56" i="9"/>
  <c r="G141" i="12" s="1"/>
  <c r="D56" i="9"/>
  <c r="F141" i="12" s="1"/>
  <c r="C56" i="9"/>
  <c r="E141" i="12" s="1"/>
  <c r="B56" i="9"/>
  <c r="D141" i="12" s="1"/>
  <c r="M55" i="9"/>
  <c r="O140" i="12" s="1"/>
  <c r="L55" i="9"/>
  <c r="N140" i="12" s="1"/>
  <c r="K55" i="9"/>
  <c r="M140" i="12" s="1"/>
  <c r="J55" i="9"/>
  <c r="L140" i="12" s="1"/>
  <c r="I55" i="9"/>
  <c r="K140" i="12" s="1"/>
  <c r="F55" i="9"/>
  <c r="H140" i="12" s="1"/>
  <c r="E55" i="9"/>
  <c r="G140" i="12" s="1"/>
  <c r="C55" i="9"/>
  <c r="E140" i="12" s="1"/>
  <c r="M54" i="9"/>
  <c r="L54" i="9"/>
  <c r="L58" i="9" s="1"/>
  <c r="N143" i="12" s="1"/>
  <c r="K54" i="9"/>
  <c r="M138" i="12" s="1"/>
  <c r="J54" i="9"/>
  <c r="L138" i="12" s="1"/>
  <c r="I54" i="9"/>
  <c r="K138" i="12" s="1"/>
  <c r="H54" i="9"/>
  <c r="J138" i="12" s="1"/>
  <c r="G54" i="9"/>
  <c r="I138" i="12" s="1"/>
  <c r="F54" i="9"/>
  <c r="H138" i="12" s="1"/>
  <c r="E54" i="9"/>
  <c r="G138" i="12" s="1"/>
  <c r="D54" i="9"/>
  <c r="F138" i="12" s="1"/>
  <c r="C54" i="9"/>
  <c r="E138" i="12" s="1"/>
  <c r="B54" i="9"/>
  <c r="D138" i="12" s="1"/>
  <c r="M53" i="9"/>
  <c r="O136" i="12" s="1"/>
  <c r="K53" i="9"/>
  <c r="M136" i="12" s="1"/>
  <c r="J53" i="9"/>
  <c r="I53" i="9"/>
  <c r="K136" i="12" s="1"/>
  <c r="H53" i="9"/>
  <c r="G53" i="9"/>
  <c r="I136" i="12" s="1"/>
  <c r="F53" i="9"/>
  <c r="H136" i="12" s="1"/>
  <c r="E53" i="9"/>
  <c r="G136" i="12" s="1"/>
  <c r="D53" i="9"/>
  <c r="C53" i="9"/>
  <c r="E136" i="12" s="1"/>
  <c r="B53" i="9"/>
  <c r="K51" i="9"/>
  <c r="M50" i="9"/>
  <c r="O132" i="12" s="1"/>
  <c r="L50" i="9"/>
  <c r="K50" i="9"/>
  <c r="M132" i="12" s="1"/>
  <c r="J50" i="9"/>
  <c r="J51" i="9" s="1"/>
  <c r="I50" i="9"/>
  <c r="H50" i="9"/>
  <c r="H51" i="9" s="1"/>
  <c r="J134" i="12" s="1"/>
  <c r="G50" i="9"/>
  <c r="G51" i="9" s="1"/>
  <c r="I134" i="12" s="1"/>
  <c r="F50" i="9"/>
  <c r="F51" i="9" s="1"/>
  <c r="E50" i="9"/>
  <c r="D50" i="9"/>
  <c r="D51" i="9" s="1"/>
  <c r="F134" i="12" s="1"/>
  <c r="C50" i="9"/>
  <c r="B50" i="9"/>
  <c r="M49" i="9"/>
  <c r="L49" i="9"/>
  <c r="N122" i="12" s="1"/>
  <c r="D49" i="9"/>
  <c r="F122" i="12" s="1"/>
  <c r="C49" i="9"/>
  <c r="C51" i="9" s="1"/>
  <c r="E134" i="12" s="1"/>
  <c r="B49" i="9"/>
  <c r="D122" i="12" s="1"/>
  <c r="M48" i="9"/>
  <c r="O121" i="12" s="1"/>
  <c r="L48" i="9"/>
  <c r="N121" i="12" s="1"/>
  <c r="K48" i="9"/>
  <c r="M121" i="12" s="1"/>
  <c r="J48" i="9"/>
  <c r="L121" i="12" s="1"/>
  <c r="I48" i="9"/>
  <c r="K121" i="12" s="1"/>
  <c r="D48" i="9"/>
  <c r="C48" i="9"/>
  <c r="E121" i="12" s="1"/>
  <c r="B48" i="9"/>
  <c r="D121" i="12" s="1"/>
  <c r="M47" i="9"/>
  <c r="O118" i="12" s="1"/>
  <c r="L47" i="9"/>
  <c r="K47" i="9"/>
  <c r="M118" i="12" s="1"/>
  <c r="J47" i="9"/>
  <c r="L118" i="12" s="1"/>
  <c r="I47" i="9"/>
  <c r="K118" i="12" s="1"/>
  <c r="H47" i="9"/>
  <c r="G47" i="9"/>
  <c r="F47" i="9"/>
  <c r="H118" i="12" s="1"/>
  <c r="E47" i="9"/>
  <c r="G118" i="12" s="1"/>
  <c r="M46" i="9"/>
  <c r="O116" i="12" s="1"/>
  <c r="L46" i="9"/>
  <c r="N116" i="12" s="1"/>
  <c r="I46" i="9"/>
  <c r="K116" i="12" s="1"/>
  <c r="H46" i="9"/>
  <c r="J116" i="12" s="1"/>
  <c r="G46" i="9"/>
  <c r="I116" i="12" s="1"/>
  <c r="F46" i="9"/>
  <c r="H116" i="12" s="1"/>
  <c r="E46" i="9"/>
  <c r="G116" i="12" s="1"/>
  <c r="D46" i="9"/>
  <c r="F116" i="12" s="1"/>
  <c r="C46" i="9"/>
  <c r="E116" i="12" s="1"/>
  <c r="B46" i="9"/>
  <c r="D116" i="12" s="1"/>
  <c r="K45" i="9"/>
  <c r="M115" i="12" s="1"/>
  <c r="J45" i="9"/>
  <c r="N44" i="9"/>
  <c r="L43" i="9"/>
  <c r="N113" i="12" s="1"/>
  <c r="J43" i="9"/>
  <c r="L113" i="12" s="1"/>
  <c r="H43" i="9"/>
  <c r="J113" i="12" s="1"/>
  <c r="G43" i="9"/>
  <c r="F43" i="9"/>
  <c r="H113" i="12" s="1"/>
  <c r="L42" i="9"/>
  <c r="N98" i="12" s="1"/>
  <c r="K42" i="9"/>
  <c r="F42" i="9"/>
  <c r="H98" i="12" s="1"/>
  <c r="E42" i="9"/>
  <c r="G98" i="12" s="1"/>
  <c r="D42" i="9"/>
  <c r="M41" i="9"/>
  <c r="O97" i="12" s="1"/>
  <c r="L41" i="9"/>
  <c r="N97" i="12" s="1"/>
  <c r="K41" i="9"/>
  <c r="M97" i="12" s="1"/>
  <c r="D41" i="9"/>
  <c r="M40" i="9"/>
  <c r="O96" i="12" s="1"/>
  <c r="L40" i="9"/>
  <c r="N96" i="12" s="1"/>
  <c r="K40" i="9"/>
  <c r="J40" i="9"/>
  <c r="L96" i="12" s="1"/>
  <c r="I40" i="9"/>
  <c r="K96" i="12" s="1"/>
  <c r="H40" i="9"/>
  <c r="J96" i="12" s="1"/>
  <c r="G40" i="9"/>
  <c r="I96" i="12" s="1"/>
  <c r="F40" i="9"/>
  <c r="H96" i="12" s="1"/>
  <c r="E40" i="9"/>
  <c r="G96" i="12" s="1"/>
  <c r="D40" i="9"/>
  <c r="F96" i="12" s="1"/>
  <c r="C40" i="9"/>
  <c r="E96" i="12" s="1"/>
  <c r="B40" i="9"/>
  <c r="D96" i="12" s="1"/>
  <c r="K39" i="9"/>
  <c r="M93" i="12" s="1"/>
  <c r="J39" i="9"/>
  <c r="L93" i="12" s="1"/>
  <c r="D39" i="9"/>
  <c r="F93" i="12" s="1"/>
  <c r="M38" i="9"/>
  <c r="O92" i="12" s="1"/>
  <c r="L38" i="9"/>
  <c r="N92" i="12" s="1"/>
  <c r="K38" i="9"/>
  <c r="M92" i="12" s="1"/>
  <c r="J38" i="9"/>
  <c r="L92" i="12" s="1"/>
  <c r="I38" i="9"/>
  <c r="K92" i="12" s="1"/>
  <c r="H38" i="9"/>
  <c r="J92" i="12" s="1"/>
  <c r="G38" i="9"/>
  <c r="I92" i="12" s="1"/>
  <c r="F38" i="9"/>
  <c r="H92" i="12" s="1"/>
  <c r="E38" i="9"/>
  <c r="G92" i="12" s="1"/>
  <c r="D38" i="9"/>
  <c r="F92" i="12" s="1"/>
  <c r="C38" i="9"/>
  <c r="E92" i="12" s="1"/>
  <c r="B38" i="9"/>
  <c r="D92" i="12" s="1"/>
  <c r="M36" i="9"/>
  <c r="O90" i="12" s="1"/>
  <c r="L36" i="9"/>
  <c r="N90" i="12" s="1"/>
  <c r="K36" i="9"/>
  <c r="M90" i="12" s="1"/>
  <c r="J36" i="9"/>
  <c r="L90" i="12" s="1"/>
  <c r="I36" i="9"/>
  <c r="K90" i="12" s="1"/>
  <c r="H36" i="9"/>
  <c r="J90" i="12" s="1"/>
  <c r="G36" i="9"/>
  <c r="I90" i="12" s="1"/>
  <c r="F36" i="9"/>
  <c r="H90" i="12" s="1"/>
  <c r="M35" i="9"/>
  <c r="O89" i="12" s="1"/>
  <c r="K35" i="9"/>
  <c r="M89" i="12" s="1"/>
  <c r="J35" i="9"/>
  <c r="L89" i="12" s="1"/>
  <c r="H35" i="9"/>
  <c r="J89" i="12" s="1"/>
  <c r="G35" i="9"/>
  <c r="I89" i="12" s="1"/>
  <c r="F35" i="9"/>
  <c r="H89" i="12" s="1"/>
  <c r="C35" i="9"/>
  <c r="E89" i="12" s="1"/>
  <c r="B35" i="9"/>
  <c r="D89" i="12" s="1"/>
  <c r="L34" i="9"/>
  <c r="N88" i="12" s="1"/>
  <c r="K34" i="9"/>
  <c r="M88" i="12" s="1"/>
  <c r="J34" i="9"/>
  <c r="L88" i="12" s="1"/>
  <c r="I34" i="9"/>
  <c r="K88" i="12" s="1"/>
  <c r="G34" i="9"/>
  <c r="I88" i="12" s="1"/>
  <c r="F34" i="9"/>
  <c r="H88" i="12" s="1"/>
  <c r="E34" i="9"/>
  <c r="G88" i="12" s="1"/>
  <c r="D34" i="9"/>
  <c r="F88" i="12" s="1"/>
  <c r="C34" i="9"/>
  <c r="E88" i="12" s="1"/>
  <c r="B34" i="9"/>
  <c r="D88" i="12" s="1"/>
  <c r="M32" i="9"/>
  <c r="O86" i="12" s="1"/>
  <c r="L32" i="9"/>
  <c r="N86" i="12" s="1"/>
  <c r="K32" i="9"/>
  <c r="M86" i="12" s="1"/>
  <c r="J32" i="9"/>
  <c r="L86" i="12" s="1"/>
  <c r="I32" i="9"/>
  <c r="K86" i="12" s="1"/>
  <c r="H32" i="9"/>
  <c r="J86" i="12" s="1"/>
  <c r="G32" i="9"/>
  <c r="I86" i="12" s="1"/>
  <c r="F32" i="9"/>
  <c r="H86" i="12" s="1"/>
  <c r="E32" i="9"/>
  <c r="D32" i="9"/>
  <c r="F86" i="12" s="1"/>
  <c r="C32" i="9"/>
  <c r="E86" i="12" s="1"/>
  <c r="M31" i="9"/>
  <c r="L31" i="9"/>
  <c r="N85" i="12" s="1"/>
  <c r="K31" i="9"/>
  <c r="J31" i="9"/>
  <c r="J33" i="9" s="1"/>
  <c r="L87" i="12" s="1"/>
  <c r="I31" i="9"/>
  <c r="H31" i="9"/>
  <c r="J85" i="12" s="1"/>
  <c r="G31" i="9"/>
  <c r="F31" i="9"/>
  <c r="F33" i="9" s="1"/>
  <c r="H87" i="12" s="1"/>
  <c r="E31" i="9"/>
  <c r="D31" i="9"/>
  <c r="F85" i="12" s="1"/>
  <c r="C31" i="9"/>
  <c r="B31" i="9"/>
  <c r="B33" i="9" s="1"/>
  <c r="D87" i="12" s="1"/>
  <c r="K30" i="9"/>
  <c r="N30" i="9" s="1"/>
  <c r="J29" i="9"/>
  <c r="L83" i="12" s="1"/>
  <c r="C29" i="9"/>
  <c r="E83" i="12" s="1"/>
  <c r="B29" i="9"/>
  <c r="D83" i="12" s="1"/>
  <c r="M28" i="9"/>
  <c r="O82" i="12" s="1"/>
  <c r="L28" i="9"/>
  <c r="N82" i="12" s="1"/>
  <c r="K28" i="9"/>
  <c r="M82" i="12" s="1"/>
  <c r="J28" i="9"/>
  <c r="L82" i="12" s="1"/>
  <c r="I28" i="9"/>
  <c r="K82" i="12" s="1"/>
  <c r="H28" i="9"/>
  <c r="J82" i="12" s="1"/>
  <c r="G28" i="9"/>
  <c r="I82" i="12" s="1"/>
  <c r="F28" i="9"/>
  <c r="H82" i="12" s="1"/>
  <c r="E28" i="9"/>
  <c r="G82" i="12" s="1"/>
  <c r="D28" i="9"/>
  <c r="F82" i="12" s="1"/>
  <c r="C28" i="9"/>
  <c r="B28" i="9"/>
  <c r="D82" i="12" s="1"/>
  <c r="M27" i="9"/>
  <c r="O81" i="12" s="1"/>
  <c r="L27" i="9"/>
  <c r="N81" i="12" s="1"/>
  <c r="K27" i="9"/>
  <c r="M81" i="12" s="1"/>
  <c r="I27" i="9"/>
  <c r="K81" i="12" s="1"/>
  <c r="H27" i="9"/>
  <c r="J81" i="12" s="1"/>
  <c r="G27" i="9"/>
  <c r="I81" i="12" s="1"/>
  <c r="F27" i="9"/>
  <c r="H81" i="12" s="1"/>
  <c r="E27" i="9"/>
  <c r="G81" i="12" s="1"/>
  <c r="D27" i="9"/>
  <c r="C27" i="9"/>
  <c r="E81" i="12" s="1"/>
  <c r="B27" i="9"/>
  <c r="D81" i="12" s="1"/>
  <c r="M26" i="9"/>
  <c r="O72" i="12" s="1"/>
  <c r="L26" i="9"/>
  <c r="N72" i="12" s="1"/>
  <c r="K26" i="9"/>
  <c r="M72" i="12" s="1"/>
  <c r="I26" i="9"/>
  <c r="K72" i="12" s="1"/>
  <c r="H26" i="9"/>
  <c r="J72" i="12" s="1"/>
  <c r="G26" i="9"/>
  <c r="I72" i="12" s="1"/>
  <c r="F26" i="9"/>
  <c r="H72" i="12" s="1"/>
  <c r="E26" i="9"/>
  <c r="G72" i="12" s="1"/>
  <c r="D26" i="9"/>
  <c r="C26" i="9"/>
  <c r="E72" i="12" s="1"/>
  <c r="B26" i="9"/>
  <c r="D72" i="12" s="1"/>
  <c r="M25" i="9"/>
  <c r="O64" i="12" s="1"/>
  <c r="L25" i="9"/>
  <c r="N64" i="12" s="1"/>
  <c r="K25" i="9"/>
  <c r="M64" i="12" s="1"/>
  <c r="J25" i="9"/>
  <c r="L64" i="12" s="1"/>
  <c r="I25" i="9"/>
  <c r="K64" i="12" s="1"/>
  <c r="H25" i="9"/>
  <c r="J64" i="12" s="1"/>
  <c r="G25" i="9"/>
  <c r="I64" i="12" s="1"/>
  <c r="K24" i="9"/>
  <c r="M62" i="12" s="1"/>
  <c r="H24" i="9"/>
  <c r="J62" i="12" s="1"/>
  <c r="E24" i="9"/>
  <c r="G62" i="12" s="1"/>
  <c r="D24" i="9"/>
  <c r="F62" i="12" s="1"/>
  <c r="M23" i="9"/>
  <c r="L23" i="9"/>
  <c r="K23" i="9"/>
  <c r="J23" i="9"/>
  <c r="I23" i="9"/>
  <c r="H23" i="9"/>
  <c r="G23" i="9"/>
  <c r="F23" i="9"/>
  <c r="E23" i="9"/>
  <c r="D23" i="9"/>
  <c r="C23" i="9"/>
  <c r="B23" i="9"/>
  <c r="C22" i="9"/>
  <c r="E61" i="12" s="1"/>
  <c r="M21" i="9"/>
  <c r="O57" i="12" s="1"/>
  <c r="L21" i="9"/>
  <c r="N57" i="12" s="1"/>
  <c r="K21" i="9"/>
  <c r="M57" i="12" s="1"/>
  <c r="J21" i="9"/>
  <c r="L57" i="12" s="1"/>
  <c r="I21" i="9"/>
  <c r="K57" i="12" s="1"/>
  <c r="H21" i="9"/>
  <c r="J57" i="12" s="1"/>
  <c r="G21" i="9"/>
  <c r="I57" i="12" s="1"/>
  <c r="F21" i="9"/>
  <c r="H57" i="12" s="1"/>
  <c r="E21" i="9"/>
  <c r="G57" i="12" s="1"/>
  <c r="D21" i="9"/>
  <c r="F57" i="12" s="1"/>
  <c r="C21" i="9"/>
  <c r="E57" i="12" s="1"/>
  <c r="B21" i="9"/>
  <c r="D57" i="12" s="1"/>
  <c r="N20" i="9"/>
  <c r="G19" i="9"/>
  <c r="I55" i="12" s="1"/>
  <c r="F19" i="9"/>
  <c r="H55" i="12" s="1"/>
  <c r="E19" i="9"/>
  <c r="G55" i="12" s="1"/>
  <c r="C19" i="9"/>
  <c r="E55" i="12" s="1"/>
  <c r="K18" i="9"/>
  <c r="M53" i="12" s="1"/>
  <c r="J18" i="9"/>
  <c r="I18" i="9"/>
  <c r="K53" i="12" s="1"/>
  <c r="M17" i="9"/>
  <c r="O51" i="12" s="1"/>
  <c r="L17" i="9"/>
  <c r="N51" i="12" s="1"/>
  <c r="K17" i="9"/>
  <c r="M51" i="12" s="1"/>
  <c r="J17" i="9"/>
  <c r="L51" i="12" s="1"/>
  <c r="I17" i="9"/>
  <c r="K51" i="12" s="1"/>
  <c r="H17" i="9"/>
  <c r="J51" i="12" s="1"/>
  <c r="F17" i="9"/>
  <c r="H51" i="12" s="1"/>
  <c r="D17" i="9"/>
  <c r="F51" i="12" s="1"/>
  <c r="C17" i="9"/>
  <c r="E51" i="12" s="1"/>
  <c r="B17" i="9"/>
  <c r="M13" i="9"/>
  <c r="O41" i="12" s="1"/>
  <c r="K13" i="9"/>
  <c r="M41" i="12" s="1"/>
  <c r="J13" i="9"/>
  <c r="L41" i="12" s="1"/>
  <c r="I13" i="9"/>
  <c r="K41" i="12" s="1"/>
  <c r="H13" i="9"/>
  <c r="J41" i="12" s="1"/>
  <c r="G13" i="9"/>
  <c r="I41" i="12" s="1"/>
  <c r="F13" i="9"/>
  <c r="H41" i="12" s="1"/>
  <c r="E13" i="9"/>
  <c r="D13" i="9"/>
  <c r="F41" i="12" s="1"/>
  <c r="C13" i="9"/>
  <c r="E41" i="12" s="1"/>
  <c r="B13" i="9"/>
  <c r="D41" i="12" s="1"/>
  <c r="L12" i="9"/>
  <c r="N11" i="9"/>
  <c r="M10" i="9"/>
  <c r="L10" i="9"/>
  <c r="N33" i="12" s="1"/>
  <c r="K10" i="9"/>
  <c r="J10" i="9"/>
  <c r="I10" i="9"/>
  <c r="H10" i="9"/>
  <c r="J33" i="12" s="1"/>
  <c r="G10" i="9"/>
  <c r="F10" i="9"/>
  <c r="E10" i="9"/>
  <c r="D10" i="9"/>
  <c r="F33" i="12" s="1"/>
  <c r="C10" i="9"/>
  <c r="B10" i="9"/>
  <c r="M7" i="9"/>
  <c r="M8" i="9" s="1"/>
  <c r="O31" i="12" s="1"/>
  <c r="L7" i="9"/>
  <c r="L8" i="9" s="1"/>
  <c r="K7" i="9"/>
  <c r="K8" i="9" s="1"/>
  <c r="J7" i="9"/>
  <c r="J8" i="9" s="1"/>
  <c r="L31" i="12" s="1"/>
  <c r="I7" i="9"/>
  <c r="I8" i="9" s="1"/>
  <c r="K31" i="12" s="1"/>
  <c r="H7" i="9"/>
  <c r="H8" i="9" s="1"/>
  <c r="G7" i="9"/>
  <c r="G8" i="9" s="1"/>
  <c r="I31" i="12" s="1"/>
  <c r="F7" i="9"/>
  <c r="H29" i="12" s="1"/>
  <c r="F7" i="26" s="1"/>
  <c r="E7" i="9"/>
  <c r="E8" i="9" s="1"/>
  <c r="G31" i="12" s="1"/>
  <c r="D7" i="9"/>
  <c r="D8" i="9" s="1"/>
  <c r="C7" i="9"/>
  <c r="C8" i="9" s="1"/>
  <c r="E31" i="12" s="1"/>
  <c r="B7" i="9"/>
  <c r="B8" i="9" s="1"/>
  <c r="D31" i="12" s="1"/>
  <c r="N87" i="8"/>
  <c r="E87" i="8"/>
  <c r="S167" i="12" s="1"/>
  <c r="B87" i="8"/>
  <c r="P167" i="12" s="1"/>
  <c r="B85" i="8"/>
  <c r="P164" i="12" s="1"/>
  <c r="F84" i="8"/>
  <c r="T161" i="12" s="1"/>
  <c r="E84" i="8"/>
  <c r="D84" i="8"/>
  <c r="R161" i="12" s="1"/>
  <c r="C84" i="8"/>
  <c r="Q161" i="12" s="1"/>
  <c r="B84" i="8"/>
  <c r="P161" i="12" s="1"/>
  <c r="M83" i="8"/>
  <c r="AA162" i="12" s="1"/>
  <c r="L83" i="8"/>
  <c r="Z162" i="12" s="1"/>
  <c r="K83" i="8"/>
  <c r="Y162" i="12" s="1"/>
  <c r="J83" i="8"/>
  <c r="X162" i="12" s="1"/>
  <c r="I83" i="8"/>
  <c r="W162" i="12" s="1"/>
  <c r="H83" i="8"/>
  <c r="V162" i="12" s="1"/>
  <c r="G83" i="8"/>
  <c r="U162" i="12" s="1"/>
  <c r="F83" i="8"/>
  <c r="E83" i="8"/>
  <c r="S162" i="12" s="1"/>
  <c r="D83" i="8"/>
  <c r="R162" i="12" s="1"/>
  <c r="C83" i="8"/>
  <c r="Q162" i="12" s="1"/>
  <c r="J82" i="8"/>
  <c r="X160" i="12" s="1"/>
  <c r="I82" i="8"/>
  <c r="W160" i="12" s="1"/>
  <c r="H82" i="8"/>
  <c r="V160" i="12" s="1"/>
  <c r="G82" i="8"/>
  <c r="U160" i="12" s="1"/>
  <c r="F82" i="8"/>
  <c r="T160" i="12" s="1"/>
  <c r="E82" i="8"/>
  <c r="S160" i="12" s="1"/>
  <c r="D82" i="8"/>
  <c r="R160" i="12" s="1"/>
  <c r="C82" i="8"/>
  <c r="B82" i="8"/>
  <c r="P160" i="12" s="1"/>
  <c r="M81" i="8"/>
  <c r="L81" i="8"/>
  <c r="K81" i="8"/>
  <c r="J81" i="8"/>
  <c r="I81" i="8"/>
  <c r="W159" i="12" s="1"/>
  <c r="H81" i="8"/>
  <c r="G81" i="8"/>
  <c r="F81" i="8"/>
  <c r="E81" i="8"/>
  <c r="S159" i="12" s="1"/>
  <c r="D81" i="8"/>
  <c r="C81" i="8"/>
  <c r="B81" i="8"/>
  <c r="M79" i="8"/>
  <c r="AA157" i="12" s="1"/>
  <c r="Y24" i="26" s="1"/>
  <c r="J79" i="8"/>
  <c r="X157" i="12" s="1"/>
  <c r="V24" i="26" s="1"/>
  <c r="D79" i="8"/>
  <c r="R157" i="12" s="1"/>
  <c r="P24" i="26" s="1"/>
  <c r="L78" i="8"/>
  <c r="K78" i="8"/>
  <c r="H78" i="8"/>
  <c r="V156" i="12" s="1"/>
  <c r="E78" i="8"/>
  <c r="I77" i="8"/>
  <c r="W155" i="12" s="1"/>
  <c r="H77" i="8"/>
  <c r="V155" i="12" s="1"/>
  <c r="G77" i="8"/>
  <c r="F77" i="8"/>
  <c r="E77" i="8"/>
  <c r="S155" i="12" s="1"/>
  <c r="D77" i="8"/>
  <c r="R155" i="12" s="1"/>
  <c r="C77" i="8"/>
  <c r="B77" i="8"/>
  <c r="M72" i="8"/>
  <c r="AA40" i="12" s="1"/>
  <c r="L72" i="8"/>
  <c r="Z40" i="12" s="1"/>
  <c r="K72" i="8"/>
  <c r="Y40" i="12" s="1"/>
  <c r="J72" i="8"/>
  <c r="X40" i="12" s="1"/>
  <c r="I72" i="8"/>
  <c r="W40" i="12" s="1"/>
  <c r="H72" i="8"/>
  <c r="V40" i="12" s="1"/>
  <c r="G72" i="8"/>
  <c r="U40" i="12" s="1"/>
  <c r="F72" i="8"/>
  <c r="T40" i="12" s="1"/>
  <c r="E72" i="8"/>
  <c r="S40" i="12" s="1"/>
  <c r="D72" i="8"/>
  <c r="R40" i="12" s="1"/>
  <c r="C72" i="8"/>
  <c r="Q40" i="12" s="1"/>
  <c r="B72" i="8"/>
  <c r="P40" i="12" s="1"/>
  <c r="M71" i="8"/>
  <c r="AA142" i="12" s="1"/>
  <c r="J71" i="8"/>
  <c r="G71" i="8"/>
  <c r="U142" i="12" s="1"/>
  <c r="D71" i="8"/>
  <c r="R142" i="12" s="1"/>
  <c r="M70" i="8"/>
  <c r="AA141" i="12" s="1"/>
  <c r="L70" i="8"/>
  <c r="Z141" i="12" s="1"/>
  <c r="K70" i="8"/>
  <c r="Y141" i="12" s="1"/>
  <c r="J70" i="8"/>
  <c r="X141" i="12" s="1"/>
  <c r="I70" i="8"/>
  <c r="W141" i="12" s="1"/>
  <c r="H70" i="8"/>
  <c r="V141" i="12" s="1"/>
  <c r="G70" i="8"/>
  <c r="U141" i="12" s="1"/>
  <c r="F70" i="8"/>
  <c r="T141" i="12" s="1"/>
  <c r="E70" i="8"/>
  <c r="S141" i="12" s="1"/>
  <c r="D70" i="8"/>
  <c r="R141" i="12" s="1"/>
  <c r="C70" i="8"/>
  <c r="Q141" i="12" s="1"/>
  <c r="B70" i="8"/>
  <c r="P141" i="12" s="1"/>
  <c r="E69" i="8"/>
  <c r="S140" i="12" s="1"/>
  <c r="D69" i="8"/>
  <c r="R140" i="12" s="1"/>
  <c r="C69" i="8"/>
  <c r="Q140" i="12" s="1"/>
  <c r="B69" i="8"/>
  <c r="M68" i="8"/>
  <c r="AA139" i="12" s="1"/>
  <c r="L68" i="8"/>
  <c r="Z139" i="12" s="1"/>
  <c r="K68" i="8"/>
  <c r="Y139" i="12" s="1"/>
  <c r="J68" i="8"/>
  <c r="X139" i="12" s="1"/>
  <c r="I68" i="8"/>
  <c r="W139" i="12" s="1"/>
  <c r="H68" i="8"/>
  <c r="V139" i="12" s="1"/>
  <c r="G68" i="8"/>
  <c r="U139" i="12" s="1"/>
  <c r="F68" i="8"/>
  <c r="E68" i="8"/>
  <c r="S139" i="12" s="1"/>
  <c r="D68" i="8"/>
  <c r="R139" i="12" s="1"/>
  <c r="D67" i="8"/>
  <c r="R138" i="12" s="1"/>
  <c r="C67" i="8"/>
  <c r="Q138" i="12" s="1"/>
  <c r="B67" i="8"/>
  <c r="P138" i="12" s="1"/>
  <c r="M66" i="8"/>
  <c r="L66" i="8"/>
  <c r="Z137" i="12" s="1"/>
  <c r="K66" i="8"/>
  <c r="Y137" i="12" s="1"/>
  <c r="J66" i="8"/>
  <c r="X137" i="12" s="1"/>
  <c r="I66" i="8"/>
  <c r="H66" i="8"/>
  <c r="G66" i="8"/>
  <c r="F66" i="8"/>
  <c r="E66" i="8"/>
  <c r="N65" i="8"/>
  <c r="M61" i="8"/>
  <c r="L61" i="8"/>
  <c r="K61" i="8"/>
  <c r="J61" i="8"/>
  <c r="I61" i="8"/>
  <c r="D61" i="8"/>
  <c r="C61" i="8"/>
  <c r="B61" i="8"/>
  <c r="M60" i="8"/>
  <c r="L60" i="8"/>
  <c r="K60" i="8"/>
  <c r="Y78" i="12" s="1"/>
  <c r="J60" i="8"/>
  <c r="X78" i="12" s="1"/>
  <c r="I60" i="8"/>
  <c r="H60" i="8"/>
  <c r="G60" i="8"/>
  <c r="U78" i="12" s="1"/>
  <c r="F60" i="8"/>
  <c r="T78" i="12" s="1"/>
  <c r="E60" i="8"/>
  <c r="D60" i="8"/>
  <c r="C60" i="8"/>
  <c r="Q78" i="12" s="1"/>
  <c r="B60" i="8"/>
  <c r="M59" i="8"/>
  <c r="AA132" i="12" s="1"/>
  <c r="L59" i="8"/>
  <c r="Z132" i="12" s="1"/>
  <c r="K59" i="8"/>
  <c r="Y132" i="12" s="1"/>
  <c r="J59" i="8"/>
  <c r="X132" i="12" s="1"/>
  <c r="I59" i="8"/>
  <c r="W132" i="12" s="1"/>
  <c r="H59" i="8"/>
  <c r="V132" i="12" s="1"/>
  <c r="G59" i="8"/>
  <c r="U132" i="12" s="1"/>
  <c r="F59" i="8"/>
  <c r="T132" i="12" s="1"/>
  <c r="E59" i="8"/>
  <c r="S132" i="12" s="1"/>
  <c r="D59" i="8"/>
  <c r="R132" i="12" s="1"/>
  <c r="C59" i="8"/>
  <c r="Q132" i="12" s="1"/>
  <c r="B59" i="8"/>
  <c r="M58" i="8"/>
  <c r="AA131" i="12" s="1"/>
  <c r="L58" i="8"/>
  <c r="Z131" i="12" s="1"/>
  <c r="K58" i="8"/>
  <c r="Y131" i="12" s="1"/>
  <c r="J58" i="8"/>
  <c r="X131" i="12" s="1"/>
  <c r="I58" i="8"/>
  <c r="W131" i="12" s="1"/>
  <c r="H58" i="8"/>
  <c r="V131" i="12" s="1"/>
  <c r="G58" i="8"/>
  <c r="U131" i="12" s="1"/>
  <c r="D58" i="8"/>
  <c r="R131" i="12" s="1"/>
  <c r="C58" i="8"/>
  <c r="Q131" i="12" s="1"/>
  <c r="B58" i="8"/>
  <c r="P131" i="12" s="1"/>
  <c r="F57" i="8"/>
  <c r="F58" i="8" s="1"/>
  <c r="T131" i="12" s="1"/>
  <c r="E57" i="8"/>
  <c r="N56" i="8"/>
  <c r="D55" i="8"/>
  <c r="R126" i="12" s="1"/>
  <c r="L54" i="8"/>
  <c r="Z124" i="12" s="1"/>
  <c r="K54" i="8"/>
  <c r="J54" i="8"/>
  <c r="X124" i="12" s="1"/>
  <c r="I54" i="8"/>
  <c r="W124" i="12" s="1"/>
  <c r="F54" i="8"/>
  <c r="T124" i="12" s="1"/>
  <c r="E54" i="8"/>
  <c r="S124" i="12" s="1"/>
  <c r="D54" i="8"/>
  <c r="R124" i="12" s="1"/>
  <c r="B54" i="8"/>
  <c r="P124" i="12" s="1"/>
  <c r="M53" i="8"/>
  <c r="M55" i="8" s="1"/>
  <c r="AA126" i="12" s="1"/>
  <c r="L53" i="8"/>
  <c r="K53" i="8"/>
  <c r="Y123" i="12" s="1"/>
  <c r="J53" i="8"/>
  <c r="X123" i="12" s="1"/>
  <c r="I53" i="8"/>
  <c r="H53" i="8"/>
  <c r="G53" i="8"/>
  <c r="U123" i="12" s="1"/>
  <c r="F53" i="8"/>
  <c r="F55" i="8" s="1"/>
  <c r="T126" i="12" s="1"/>
  <c r="E53" i="8"/>
  <c r="S123" i="12" s="1"/>
  <c r="D53" i="8"/>
  <c r="R123" i="12" s="1"/>
  <c r="C53" i="8"/>
  <c r="B53" i="8"/>
  <c r="B55" i="8" s="1"/>
  <c r="P126" i="12" s="1"/>
  <c r="N52" i="8"/>
  <c r="M51" i="8"/>
  <c r="L51" i="8"/>
  <c r="K51" i="8"/>
  <c r="Y121" i="12" s="1"/>
  <c r="J51" i="8"/>
  <c r="X121" i="12" s="1"/>
  <c r="I51" i="8"/>
  <c r="W121" i="12" s="1"/>
  <c r="H51" i="8"/>
  <c r="V121" i="12" s="1"/>
  <c r="G51" i="8"/>
  <c r="U121" i="12" s="1"/>
  <c r="F51" i="8"/>
  <c r="T121" i="12" s="1"/>
  <c r="E51" i="8"/>
  <c r="S121" i="12" s="1"/>
  <c r="D51" i="8"/>
  <c r="R121" i="12" s="1"/>
  <c r="C51" i="8"/>
  <c r="Q121" i="12" s="1"/>
  <c r="B51" i="8"/>
  <c r="P121" i="12" s="1"/>
  <c r="J50" i="8"/>
  <c r="X120" i="12" s="1"/>
  <c r="I50" i="8"/>
  <c r="W120" i="12" s="1"/>
  <c r="H50" i="8"/>
  <c r="V120" i="12" s="1"/>
  <c r="F50" i="8"/>
  <c r="T120" i="12" s="1"/>
  <c r="E50" i="8"/>
  <c r="S120" i="12" s="1"/>
  <c r="D50" i="8"/>
  <c r="R120" i="12" s="1"/>
  <c r="C50" i="8"/>
  <c r="Q120" i="12" s="1"/>
  <c r="B50" i="8"/>
  <c r="N49" i="8"/>
  <c r="L47" i="8"/>
  <c r="Z107" i="12" s="1"/>
  <c r="K47" i="8"/>
  <c r="J47" i="8"/>
  <c r="I47" i="8"/>
  <c r="W107" i="12" s="1"/>
  <c r="H47" i="8"/>
  <c r="V107" i="12" s="1"/>
  <c r="G47" i="8"/>
  <c r="F47" i="8"/>
  <c r="E47" i="8"/>
  <c r="S107" i="12" s="1"/>
  <c r="D47" i="8"/>
  <c r="R107" i="12" s="1"/>
  <c r="C47" i="8"/>
  <c r="B47" i="8"/>
  <c r="M46" i="8"/>
  <c r="AA106" i="12" s="1"/>
  <c r="L46" i="8"/>
  <c r="Z106" i="12" s="1"/>
  <c r="K46" i="8"/>
  <c r="Y106" i="12" s="1"/>
  <c r="J46" i="8"/>
  <c r="X106" i="12" s="1"/>
  <c r="I46" i="8"/>
  <c r="W106" i="12" s="1"/>
  <c r="H46" i="8"/>
  <c r="V106" i="12" s="1"/>
  <c r="G46" i="8"/>
  <c r="U106" i="12" s="1"/>
  <c r="F46" i="8"/>
  <c r="T106" i="12" s="1"/>
  <c r="E46" i="8"/>
  <c r="D46" i="8"/>
  <c r="C46" i="8"/>
  <c r="Q106" i="12" s="1"/>
  <c r="B46" i="8"/>
  <c r="P106" i="12" s="1"/>
  <c r="M45" i="8"/>
  <c r="AA105" i="12" s="1"/>
  <c r="L45" i="8"/>
  <c r="Z105" i="12" s="1"/>
  <c r="K45" i="8"/>
  <c r="Y105" i="12" s="1"/>
  <c r="J45" i="8"/>
  <c r="X105" i="12" s="1"/>
  <c r="I45" i="8"/>
  <c r="W105" i="12" s="1"/>
  <c r="G45" i="8"/>
  <c r="U105" i="12" s="1"/>
  <c r="C45" i="8"/>
  <c r="Q105" i="12" s="1"/>
  <c r="B45" i="8"/>
  <c r="P105" i="12" s="1"/>
  <c r="M44" i="8"/>
  <c r="AA104" i="12" s="1"/>
  <c r="K44" i="8"/>
  <c r="Y104" i="12" s="1"/>
  <c r="J44" i="8"/>
  <c r="X104" i="12" s="1"/>
  <c r="I44" i="8"/>
  <c r="W104" i="12" s="1"/>
  <c r="H44" i="8"/>
  <c r="G44" i="8"/>
  <c r="U104" i="12" s="1"/>
  <c r="M43" i="8"/>
  <c r="AA101" i="12" s="1"/>
  <c r="L43" i="8"/>
  <c r="Z101" i="12" s="1"/>
  <c r="K43" i="8"/>
  <c r="Y101" i="12" s="1"/>
  <c r="N42" i="8"/>
  <c r="M40" i="8"/>
  <c r="AA89" i="12" s="1"/>
  <c r="L40" i="8"/>
  <c r="Z89" i="12" s="1"/>
  <c r="K40" i="8"/>
  <c r="Y89" i="12" s="1"/>
  <c r="J40" i="8"/>
  <c r="X89" i="12" s="1"/>
  <c r="I40" i="8"/>
  <c r="W89" i="12" s="1"/>
  <c r="H40" i="8"/>
  <c r="V89" i="12" s="1"/>
  <c r="E40" i="8"/>
  <c r="S89" i="12" s="1"/>
  <c r="D40" i="8"/>
  <c r="C40" i="8"/>
  <c r="Q89" i="12" s="1"/>
  <c r="B40" i="8"/>
  <c r="P89" i="12" s="1"/>
  <c r="M39" i="8"/>
  <c r="AA88" i="12" s="1"/>
  <c r="L39" i="8"/>
  <c r="Z88" i="12" s="1"/>
  <c r="K39" i="8"/>
  <c r="Y88" i="12" s="1"/>
  <c r="J39" i="8"/>
  <c r="X88" i="12" s="1"/>
  <c r="I39" i="8"/>
  <c r="W88" i="12" s="1"/>
  <c r="H39" i="8"/>
  <c r="V88" i="12" s="1"/>
  <c r="G39" i="8"/>
  <c r="U88" i="12" s="1"/>
  <c r="F39" i="8"/>
  <c r="T88" i="12" s="1"/>
  <c r="E39" i="8"/>
  <c r="S88" i="12" s="1"/>
  <c r="D39" i="8"/>
  <c r="R88" i="12" s="1"/>
  <c r="C39" i="8"/>
  <c r="Q88" i="12" s="1"/>
  <c r="B39" i="8"/>
  <c r="J38" i="8"/>
  <c r="X87" i="12" s="1"/>
  <c r="M37" i="8"/>
  <c r="L37" i="8"/>
  <c r="Z86" i="12" s="1"/>
  <c r="K37" i="8"/>
  <c r="Y86" i="12" s="1"/>
  <c r="I37" i="8"/>
  <c r="I38" i="8" s="1"/>
  <c r="W87" i="12" s="1"/>
  <c r="H37" i="8"/>
  <c r="V86" i="12" s="1"/>
  <c r="G37" i="8"/>
  <c r="F37" i="8"/>
  <c r="F38" i="8" s="1"/>
  <c r="T87" i="12" s="1"/>
  <c r="E37" i="8"/>
  <c r="E38" i="8" s="1"/>
  <c r="S87" i="12" s="1"/>
  <c r="D37" i="8"/>
  <c r="R86" i="12" s="1"/>
  <c r="C37" i="8"/>
  <c r="Q86" i="12" s="1"/>
  <c r="B37" i="8"/>
  <c r="P86" i="12" s="1"/>
  <c r="L36" i="8"/>
  <c r="Z85" i="12" s="1"/>
  <c r="H36" i="8"/>
  <c r="D36" i="8"/>
  <c r="C36" i="8"/>
  <c r="Q85" i="12" s="1"/>
  <c r="B36" i="8"/>
  <c r="P85" i="12" s="1"/>
  <c r="J35" i="8"/>
  <c r="X84" i="12" s="1"/>
  <c r="G35" i="8"/>
  <c r="U84" i="12" s="1"/>
  <c r="D35" i="8"/>
  <c r="R84" i="12" s="1"/>
  <c r="C35" i="8"/>
  <c r="Q84" i="12" s="1"/>
  <c r="M34" i="8"/>
  <c r="AA82" i="12" s="1"/>
  <c r="L34" i="8"/>
  <c r="Z82" i="12" s="1"/>
  <c r="K34" i="8"/>
  <c r="Y82" i="12" s="1"/>
  <c r="J34" i="8"/>
  <c r="X82" i="12" s="1"/>
  <c r="I34" i="8"/>
  <c r="W82" i="12" s="1"/>
  <c r="H34" i="8"/>
  <c r="V82" i="12" s="1"/>
  <c r="G34" i="8"/>
  <c r="U82" i="12" s="1"/>
  <c r="F34" i="8"/>
  <c r="T82" i="12" s="1"/>
  <c r="E34" i="8"/>
  <c r="S82" i="12" s="1"/>
  <c r="D34" i="8"/>
  <c r="R82" i="12" s="1"/>
  <c r="C34" i="8"/>
  <c r="Q82" i="12" s="1"/>
  <c r="B34" i="8"/>
  <c r="M33" i="8"/>
  <c r="AA81" i="12" s="1"/>
  <c r="L33" i="8"/>
  <c r="Z81" i="12" s="1"/>
  <c r="K33" i="8"/>
  <c r="Y81" i="12" s="1"/>
  <c r="J33" i="8"/>
  <c r="X81" i="12" s="1"/>
  <c r="I33" i="8"/>
  <c r="W81" i="12" s="1"/>
  <c r="H33" i="8"/>
  <c r="V81" i="12" s="1"/>
  <c r="F33" i="8"/>
  <c r="T81" i="12" s="1"/>
  <c r="E33" i="8"/>
  <c r="S81" i="12" s="1"/>
  <c r="D33" i="8"/>
  <c r="R81" i="12" s="1"/>
  <c r="C33" i="8"/>
  <c r="Q81" i="12" s="1"/>
  <c r="B33" i="8"/>
  <c r="P81" i="12" s="1"/>
  <c r="M32" i="8"/>
  <c r="AA80" i="12" s="1"/>
  <c r="L32" i="8"/>
  <c r="Z80" i="12" s="1"/>
  <c r="K32" i="8"/>
  <c r="Y80" i="12" s="1"/>
  <c r="J32" i="8"/>
  <c r="X80" i="12" s="1"/>
  <c r="I32" i="8"/>
  <c r="W80" i="12" s="1"/>
  <c r="H32" i="8"/>
  <c r="V80" i="12" s="1"/>
  <c r="F32" i="8"/>
  <c r="T80" i="12" s="1"/>
  <c r="M30" i="8"/>
  <c r="M31" i="8" s="1"/>
  <c r="AA79" i="12" s="1"/>
  <c r="L30" i="8"/>
  <c r="L31" i="8" s="1"/>
  <c r="Z79" i="12" s="1"/>
  <c r="K30" i="8"/>
  <c r="Y74" i="12" s="1"/>
  <c r="I30" i="8"/>
  <c r="H30" i="8"/>
  <c r="H31" i="8" s="1"/>
  <c r="V79" i="12" s="1"/>
  <c r="G30" i="8"/>
  <c r="G31" i="8" s="1"/>
  <c r="U79" i="12" s="1"/>
  <c r="F30" i="8"/>
  <c r="E30" i="8"/>
  <c r="D30" i="8"/>
  <c r="R74" i="12" s="1"/>
  <c r="C30" i="8"/>
  <c r="C31" i="8" s="1"/>
  <c r="Q79" i="12" s="1"/>
  <c r="B30" i="8"/>
  <c r="J29" i="8"/>
  <c r="X73" i="12" s="1"/>
  <c r="N28" i="8"/>
  <c r="D26" i="8"/>
  <c r="R65" i="12" s="1"/>
  <c r="C26" i="8"/>
  <c r="Q65" i="12" s="1"/>
  <c r="M25" i="8"/>
  <c r="L25" i="8"/>
  <c r="K25" i="8"/>
  <c r="K27" i="8" s="1"/>
  <c r="Y67" i="12" s="1"/>
  <c r="J25" i="8"/>
  <c r="J27" i="8" s="1"/>
  <c r="X67" i="12" s="1"/>
  <c r="I25" i="8"/>
  <c r="H25" i="8"/>
  <c r="V64" i="12" s="1"/>
  <c r="G25" i="8"/>
  <c r="G27" i="8" s="1"/>
  <c r="U67" i="12" s="1"/>
  <c r="F25" i="8"/>
  <c r="F27" i="8" s="1"/>
  <c r="T67" i="12" s="1"/>
  <c r="E25" i="8"/>
  <c r="D25" i="8"/>
  <c r="R64" i="12" s="1"/>
  <c r="C25" i="8"/>
  <c r="B25" i="8"/>
  <c r="B27" i="8" s="1"/>
  <c r="P67" i="12" s="1"/>
  <c r="K24" i="8"/>
  <c r="Y63" i="12" s="1"/>
  <c r="J24" i="8"/>
  <c r="X63" i="12" s="1"/>
  <c r="I24" i="8"/>
  <c r="W63" i="12" s="1"/>
  <c r="H24" i="8"/>
  <c r="V63" i="12" s="1"/>
  <c r="G24" i="8"/>
  <c r="U63" i="12" s="1"/>
  <c r="F24" i="8"/>
  <c r="T63" i="12" s="1"/>
  <c r="J23" i="8"/>
  <c r="X62" i="12" s="1"/>
  <c r="F23" i="8"/>
  <c r="B23" i="8"/>
  <c r="M22" i="8"/>
  <c r="AA57" i="12" s="1"/>
  <c r="L22" i="8"/>
  <c r="Z57" i="12" s="1"/>
  <c r="K22" i="8"/>
  <c r="Y57" i="12" s="1"/>
  <c r="J22" i="8"/>
  <c r="X57" i="12" s="1"/>
  <c r="I22" i="8"/>
  <c r="W57" i="12" s="1"/>
  <c r="H22" i="8"/>
  <c r="V57" i="12" s="1"/>
  <c r="G22" i="8"/>
  <c r="U57" i="12" s="1"/>
  <c r="F22" i="8"/>
  <c r="T57" i="12" s="1"/>
  <c r="E22" i="8"/>
  <c r="S57" i="12" s="1"/>
  <c r="D22" i="8"/>
  <c r="R57" i="12" s="1"/>
  <c r="C22" i="8"/>
  <c r="Q57" i="12" s="1"/>
  <c r="B22" i="8"/>
  <c r="N21" i="8"/>
  <c r="M20" i="8"/>
  <c r="AA52" i="12" s="1"/>
  <c r="L20" i="8"/>
  <c r="Z52" i="12" s="1"/>
  <c r="K20" i="8"/>
  <c r="Y52" i="12" s="1"/>
  <c r="J20" i="8"/>
  <c r="X52" i="12" s="1"/>
  <c r="I20" i="8"/>
  <c r="W52" i="12" s="1"/>
  <c r="H20" i="8"/>
  <c r="V52" i="12" s="1"/>
  <c r="G20" i="8"/>
  <c r="U52" i="12" s="1"/>
  <c r="F20" i="8"/>
  <c r="T52" i="12" s="1"/>
  <c r="E20" i="8"/>
  <c r="S52" i="12" s="1"/>
  <c r="D20" i="8"/>
  <c r="R52" i="12" s="1"/>
  <c r="C20" i="8"/>
  <c r="Q52" i="12" s="1"/>
  <c r="B20" i="8"/>
  <c r="P52" i="12" s="1"/>
  <c r="L16" i="8"/>
  <c r="Z44" i="12" s="1"/>
  <c r="K16" i="8"/>
  <c r="Y44" i="12" s="1"/>
  <c r="J16" i="8"/>
  <c r="X44" i="12" s="1"/>
  <c r="I16" i="8"/>
  <c r="W44" i="12" s="1"/>
  <c r="H16" i="8"/>
  <c r="V44" i="12" s="1"/>
  <c r="G16" i="8"/>
  <c r="U44" i="12" s="1"/>
  <c r="F16" i="8"/>
  <c r="T44" i="12" s="1"/>
  <c r="E16" i="8"/>
  <c r="S44" i="12" s="1"/>
  <c r="D16" i="8"/>
  <c r="R44" i="12" s="1"/>
  <c r="C16" i="8"/>
  <c r="Q44" i="12" s="1"/>
  <c r="B16" i="8"/>
  <c r="P44" i="12" s="1"/>
  <c r="M15" i="8"/>
  <c r="AA42" i="12" s="1"/>
  <c r="L15" i="8"/>
  <c r="Z42" i="12" s="1"/>
  <c r="K15" i="8"/>
  <c r="Y42" i="12" s="1"/>
  <c r="J15" i="8"/>
  <c r="X42" i="12" s="1"/>
  <c r="I15" i="8"/>
  <c r="W42" i="12" s="1"/>
  <c r="F14" i="8"/>
  <c r="T41" i="12" s="1"/>
  <c r="E14" i="8"/>
  <c r="S41" i="12" s="1"/>
  <c r="D14" i="8"/>
  <c r="R41" i="12" s="1"/>
  <c r="C14" i="8"/>
  <c r="B14" i="8"/>
  <c r="P41" i="12" s="1"/>
  <c r="M13" i="8"/>
  <c r="L13" i="8"/>
  <c r="K13" i="8"/>
  <c r="K14" i="8" s="1"/>
  <c r="J13" i="8"/>
  <c r="J14" i="8" s="1"/>
  <c r="X41" i="12" s="1"/>
  <c r="I13" i="8"/>
  <c r="H13" i="8"/>
  <c r="G13" i="8"/>
  <c r="U39" i="12" s="1"/>
  <c r="N12" i="8"/>
  <c r="M11" i="8"/>
  <c r="AA33" i="12" s="1"/>
  <c r="L11" i="8"/>
  <c r="K11" i="8"/>
  <c r="Y33" i="12" s="1"/>
  <c r="J11" i="8"/>
  <c r="I11" i="8"/>
  <c r="W33" i="12" s="1"/>
  <c r="H11" i="8"/>
  <c r="V33" i="12" s="1"/>
  <c r="G11" i="8"/>
  <c r="U33" i="12" s="1"/>
  <c r="F11" i="8"/>
  <c r="E11" i="8"/>
  <c r="D11" i="8"/>
  <c r="C11" i="8"/>
  <c r="Q33" i="12" s="1"/>
  <c r="B11" i="8"/>
  <c r="M8" i="8"/>
  <c r="AA30" i="12" s="1"/>
  <c r="Y8" i="26" s="1"/>
  <c r="L8" i="8"/>
  <c r="Z30" i="12" s="1"/>
  <c r="X8" i="26" s="1"/>
  <c r="K8" i="8"/>
  <c r="Y30" i="12" s="1"/>
  <c r="W8" i="26" s="1"/>
  <c r="J8" i="8"/>
  <c r="I8" i="8"/>
  <c r="W30" i="12" s="1"/>
  <c r="U8" i="26" s="1"/>
  <c r="H8" i="8"/>
  <c r="V30" i="12" s="1"/>
  <c r="T8" i="26" s="1"/>
  <c r="G8" i="8"/>
  <c r="U30" i="12" s="1"/>
  <c r="S8" i="26" s="1"/>
  <c r="F8" i="8"/>
  <c r="T30" i="12" s="1"/>
  <c r="R8" i="26" s="1"/>
  <c r="E8" i="8"/>
  <c r="S30" i="12" s="1"/>
  <c r="Q8" i="26" s="1"/>
  <c r="D8" i="8"/>
  <c r="R30" i="12" s="1"/>
  <c r="P8" i="26" s="1"/>
  <c r="C8" i="8"/>
  <c r="Q30" i="12" s="1"/>
  <c r="O8" i="26" s="1"/>
  <c r="B8" i="8"/>
  <c r="M7" i="8"/>
  <c r="AA29" i="12" s="1"/>
  <c r="Y7" i="26" s="1"/>
  <c r="Y9" i="26" s="1"/>
  <c r="L7" i="8"/>
  <c r="L9" i="8" s="1"/>
  <c r="Z31" i="12" s="1"/>
  <c r="K7" i="8"/>
  <c r="J7" i="8"/>
  <c r="X29" i="12" s="1"/>
  <c r="V7" i="26" s="1"/>
  <c r="I7" i="8"/>
  <c r="W29" i="12" s="1"/>
  <c r="U7" i="26" s="1"/>
  <c r="U9" i="26" s="1"/>
  <c r="H7" i="8"/>
  <c r="H9" i="8" s="1"/>
  <c r="V31" i="12" s="1"/>
  <c r="G7" i="8"/>
  <c r="F7" i="8"/>
  <c r="E7" i="8"/>
  <c r="E9" i="8" s="1"/>
  <c r="S31" i="12" s="1"/>
  <c r="D7" i="8"/>
  <c r="D9" i="8" s="1"/>
  <c r="R31" i="12" s="1"/>
  <c r="C7" i="8"/>
  <c r="B7" i="8"/>
  <c r="M93" i="7"/>
  <c r="AM167" i="12" s="1"/>
  <c r="L93" i="7"/>
  <c r="AL167" i="12" s="1"/>
  <c r="K93" i="7"/>
  <c r="AK167" i="12" s="1"/>
  <c r="J93" i="7"/>
  <c r="AJ167" i="12" s="1"/>
  <c r="I93" i="7"/>
  <c r="AI167" i="12" s="1"/>
  <c r="H93" i="7"/>
  <c r="AH167" i="12" s="1"/>
  <c r="G93" i="7"/>
  <c r="AG167" i="12" s="1"/>
  <c r="F93" i="7"/>
  <c r="E93" i="7"/>
  <c r="AE167" i="12" s="1"/>
  <c r="D93" i="7"/>
  <c r="AD167" i="12" s="1"/>
  <c r="C93" i="7"/>
  <c r="AC167" i="12" s="1"/>
  <c r="B91" i="7"/>
  <c r="G90" i="7"/>
  <c r="AG163" i="12" s="1"/>
  <c r="F90" i="7"/>
  <c r="AF163" i="12" s="1"/>
  <c r="E90" i="7"/>
  <c r="AE163" i="12" s="1"/>
  <c r="D90" i="7"/>
  <c r="AD163" i="12" s="1"/>
  <c r="C90" i="7"/>
  <c r="AC163" i="12" s="1"/>
  <c r="B90" i="7"/>
  <c r="M89" i="7"/>
  <c r="L89" i="7"/>
  <c r="K89" i="7"/>
  <c r="AK165" i="12" s="1"/>
  <c r="J89" i="7"/>
  <c r="AJ165" i="12" s="1"/>
  <c r="I89" i="7"/>
  <c r="H89" i="7"/>
  <c r="G89" i="7"/>
  <c r="F89" i="7"/>
  <c r="E89" i="7"/>
  <c r="D89" i="7"/>
  <c r="C89" i="7"/>
  <c r="AC165" i="12" s="1"/>
  <c r="C88" i="7"/>
  <c r="B88" i="7"/>
  <c r="K87" i="7"/>
  <c r="M81" i="7"/>
  <c r="AM133" i="12" s="1"/>
  <c r="K80" i="7"/>
  <c r="J80" i="7"/>
  <c r="I80" i="7"/>
  <c r="H80" i="7"/>
  <c r="G80" i="7"/>
  <c r="E80" i="7"/>
  <c r="D80" i="7"/>
  <c r="C80" i="7"/>
  <c r="B80" i="7"/>
  <c r="M79" i="7"/>
  <c r="AM78" i="12" s="1"/>
  <c r="L79" i="7"/>
  <c r="K79" i="7"/>
  <c r="J79" i="7"/>
  <c r="I79" i="7"/>
  <c r="AI78" i="12" s="1"/>
  <c r="H79" i="7"/>
  <c r="G79" i="7"/>
  <c r="F79" i="7"/>
  <c r="E79" i="7"/>
  <c r="D79" i="7"/>
  <c r="C79" i="7"/>
  <c r="B79" i="7"/>
  <c r="AB78" i="12" s="1"/>
  <c r="F78" i="7"/>
  <c r="AF132" i="12" s="1"/>
  <c r="E78" i="7"/>
  <c r="AE132" i="12" s="1"/>
  <c r="D78" i="7"/>
  <c r="AD132" i="12" s="1"/>
  <c r="C78" i="7"/>
  <c r="AC132" i="12" s="1"/>
  <c r="B78" i="7"/>
  <c r="F77" i="7"/>
  <c r="AF131" i="12" s="1"/>
  <c r="E77" i="7"/>
  <c r="AE131" i="12" s="1"/>
  <c r="D77" i="7"/>
  <c r="AD131" i="12" s="1"/>
  <c r="C77" i="7"/>
  <c r="AC131" i="12" s="1"/>
  <c r="B77" i="7"/>
  <c r="AB131" i="12" s="1"/>
  <c r="M76" i="7"/>
  <c r="M77" i="7" s="1"/>
  <c r="AM131" i="12" s="1"/>
  <c r="L76" i="7"/>
  <c r="L77" i="7" s="1"/>
  <c r="AL131" i="12" s="1"/>
  <c r="K76" i="7"/>
  <c r="K77" i="7" s="1"/>
  <c r="AK131" i="12" s="1"/>
  <c r="J76" i="7"/>
  <c r="J77" i="7" s="1"/>
  <c r="AJ131" i="12" s="1"/>
  <c r="I76" i="7"/>
  <c r="I77" i="7" s="1"/>
  <c r="AI131" i="12" s="1"/>
  <c r="H76" i="7"/>
  <c r="H77" i="7" s="1"/>
  <c r="G76" i="7"/>
  <c r="G77" i="7" s="1"/>
  <c r="AG131" i="12" s="1"/>
  <c r="N75" i="7"/>
  <c r="F74" i="7"/>
  <c r="AF129" i="12" s="1"/>
  <c r="E74" i="7"/>
  <c r="AE129" i="12" s="1"/>
  <c r="D74" i="7"/>
  <c r="AD129" i="12" s="1"/>
  <c r="C74" i="7"/>
  <c r="AC129" i="12" s="1"/>
  <c r="B74" i="7"/>
  <c r="AB129" i="12" s="1"/>
  <c r="M73" i="7"/>
  <c r="AM128" i="12" s="1"/>
  <c r="L73" i="7"/>
  <c r="K73" i="7"/>
  <c r="AK128" i="12" s="1"/>
  <c r="J73" i="7"/>
  <c r="I73" i="7"/>
  <c r="H73" i="7"/>
  <c r="G73" i="7"/>
  <c r="AG128" i="12" s="1"/>
  <c r="N72" i="7"/>
  <c r="K71" i="7"/>
  <c r="AK126" i="12" s="1"/>
  <c r="M70" i="7"/>
  <c r="AM124" i="12" s="1"/>
  <c r="L70" i="7"/>
  <c r="AL124" i="12" s="1"/>
  <c r="K70" i="7"/>
  <c r="AK124" i="12" s="1"/>
  <c r="J70" i="7"/>
  <c r="AJ124" i="12" s="1"/>
  <c r="I70" i="7"/>
  <c r="AI124" i="12" s="1"/>
  <c r="H70" i="7"/>
  <c r="AH124" i="12" s="1"/>
  <c r="G70" i="7"/>
  <c r="AG124" i="12" s="1"/>
  <c r="F70" i="7"/>
  <c r="AF124" i="12" s="1"/>
  <c r="E70" i="7"/>
  <c r="AE124" i="12" s="1"/>
  <c r="D70" i="7"/>
  <c r="AD124" i="12" s="1"/>
  <c r="C70" i="7"/>
  <c r="AC124" i="12" s="1"/>
  <c r="B70" i="7"/>
  <c r="M69" i="7"/>
  <c r="L69" i="7"/>
  <c r="K69" i="7"/>
  <c r="AK123" i="12" s="1"/>
  <c r="J69" i="7"/>
  <c r="I69" i="7"/>
  <c r="H69" i="7"/>
  <c r="G69" i="7"/>
  <c r="AG123" i="12" s="1"/>
  <c r="F69" i="7"/>
  <c r="E69" i="7"/>
  <c r="D69" i="7"/>
  <c r="C69" i="7"/>
  <c r="AC123" i="12" s="1"/>
  <c r="B69" i="7"/>
  <c r="N68" i="7"/>
  <c r="M67" i="7"/>
  <c r="AM121" i="12" s="1"/>
  <c r="L67" i="7"/>
  <c r="AL121" i="12" s="1"/>
  <c r="K67" i="7"/>
  <c r="AK121" i="12" s="1"/>
  <c r="J67" i="7"/>
  <c r="AJ121" i="12" s="1"/>
  <c r="I67" i="7"/>
  <c r="AI121" i="12" s="1"/>
  <c r="H67" i="7"/>
  <c r="AH121" i="12" s="1"/>
  <c r="G67" i="7"/>
  <c r="F67" i="7"/>
  <c r="AF121" i="12" s="1"/>
  <c r="E67" i="7"/>
  <c r="AE121" i="12" s="1"/>
  <c r="D67" i="7"/>
  <c r="AD121" i="12" s="1"/>
  <c r="C67" i="7"/>
  <c r="B67" i="7"/>
  <c r="M66" i="7"/>
  <c r="AM120" i="12" s="1"/>
  <c r="L66" i="7"/>
  <c r="AL120" i="12" s="1"/>
  <c r="K66" i="7"/>
  <c r="AK120" i="12" s="1"/>
  <c r="J66" i="7"/>
  <c r="AJ120" i="12" s="1"/>
  <c r="I66" i="7"/>
  <c r="AI120" i="12" s="1"/>
  <c r="H66" i="7"/>
  <c r="AH120" i="12" s="1"/>
  <c r="G66" i="7"/>
  <c r="AG120" i="12" s="1"/>
  <c r="F66" i="7"/>
  <c r="AF120" i="12" s="1"/>
  <c r="E66" i="7"/>
  <c r="AE120" i="12" s="1"/>
  <c r="D66" i="7"/>
  <c r="AD120" i="12" s="1"/>
  <c r="C66" i="7"/>
  <c r="AC120" i="12" s="1"/>
  <c r="B66" i="7"/>
  <c r="AB120" i="12" s="1"/>
  <c r="M65" i="7"/>
  <c r="AM119" i="12" s="1"/>
  <c r="L65" i="7"/>
  <c r="AL119" i="12" s="1"/>
  <c r="K65" i="7"/>
  <c r="AK119" i="12" s="1"/>
  <c r="J65" i="7"/>
  <c r="AJ119" i="12" s="1"/>
  <c r="I65" i="7"/>
  <c r="AI119" i="12" s="1"/>
  <c r="H65" i="7"/>
  <c r="AH119" i="12" s="1"/>
  <c r="G65" i="7"/>
  <c r="AG119" i="12" s="1"/>
  <c r="F65" i="7"/>
  <c r="E65" i="7"/>
  <c r="AE119" i="12" s="1"/>
  <c r="D65" i="7"/>
  <c r="AD119" i="12" s="1"/>
  <c r="N64" i="7"/>
  <c r="M62" i="7"/>
  <c r="AM111" i="12" s="1"/>
  <c r="L62" i="7"/>
  <c r="AL111" i="12" s="1"/>
  <c r="K62" i="7"/>
  <c r="AK111" i="12" s="1"/>
  <c r="J62" i="7"/>
  <c r="AJ111" i="12" s="1"/>
  <c r="I62" i="7"/>
  <c r="AI111" i="12" s="1"/>
  <c r="H62" i="7"/>
  <c r="AH111" i="12" s="1"/>
  <c r="G62" i="7"/>
  <c r="AG111" i="12" s="1"/>
  <c r="F62" i="7"/>
  <c r="AF111" i="12" s="1"/>
  <c r="E62" i="7"/>
  <c r="AE111" i="12" s="1"/>
  <c r="D62" i="7"/>
  <c r="AD111" i="12" s="1"/>
  <c r="C62" i="7"/>
  <c r="AC111" i="12" s="1"/>
  <c r="B62" i="7"/>
  <c r="M61" i="7"/>
  <c r="AM110" i="12" s="1"/>
  <c r="L61" i="7"/>
  <c r="AL110" i="12" s="1"/>
  <c r="K61" i="7"/>
  <c r="AK110" i="12" s="1"/>
  <c r="J61" i="7"/>
  <c r="AJ110" i="12" s="1"/>
  <c r="I61" i="7"/>
  <c r="AI110" i="12" s="1"/>
  <c r="H61" i="7"/>
  <c r="AH110" i="12" s="1"/>
  <c r="G61" i="7"/>
  <c r="AG110" i="12" s="1"/>
  <c r="F61" i="7"/>
  <c r="AF110" i="12" s="1"/>
  <c r="E61" i="7"/>
  <c r="AE110" i="12" s="1"/>
  <c r="D61" i="7"/>
  <c r="AD110" i="12" s="1"/>
  <c r="C61" i="7"/>
  <c r="AC110" i="12" s="1"/>
  <c r="B61" i="7"/>
  <c r="AB110" i="12" s="1"/>
  <c r="M60" i="7"/>
  <c r="AM109" i="12" s="1"/>
  <c r="L60" i="7"/>
  <c r="AL109" i="12" s="1"/>
  <c r="K60" i="7"/>
  <c r="AK109" i="12" s="1"/>
  <c r="J60" i="7"/>
  <c r="AJ109" i="12" s="1"/>
  <c r="I60" i="7"/>
  <c r="AI109" i="12" s="1"/>
  <c r="H60" i="7"/>
  <c r="AH109" i="12" s="1"/>
  <c r="G60" i="7"/>
  <c r="AG109" i="12" s="1"/>
  <c r="F60" i="7"/>
  <c r="D60" i="7"/>
  <c r="AD109" i="12" s="1"/>
  <c r="J59" i="7"/>
  <c r="AJ108" i="12" s="1"/>
  <c r="I59" i="7"/>
  <c r="AI108" i="12" s="1"/>
  <c r="H59" i="7"/>
  <c r="AH108" i="12" s="1"/>
  <c r="M58" i="7"/>
  <c r="AM104" i="12" s="1"/>
  <c r="L58" i="7"/>
  <c r="AL104" i="12" s="1"/>
  <c r="K58" i="7"/>
  <c r="AK104" i="12" s="1"/>
  <c r="J58" i="7"/>
  <c r="AJ104" i="12" s="1"/>
  <c r="I58" i="7"/>
  <c r="AI104" i="12" s="1"/>
  <c r="H58" i="7"/>
  <c r="AH104" i="12" s="1"/>
  <c r="G58" i="7"/>
  <c r="AG104" i="12" s="1"/>
  <c r="F58" i="7"/>
  <c r="AF104" i="12" s="1"/>
  <c r="E58" i="7"/>
  <c r="AE104" i="12" s="1"/>
  <c r="D58" i="7"/>
  <c r="AD104" i="12" s="1"/>
  <c r="C58" i="7"/>
  <c r="AC104" i="12" s="1"/>
  <c r="B58" i="7"/>
  <c r="M57" i="7"/>
  <c r="AM103" i="12" s="1"/>
  <c r="L57" i="7"/>
  <c r="AL103" i="12" s="1"/>
  <c r="K57" i="7"/>
  <c r="AK103" i="12" s="1"/>
  <c r="J57" i="7"/>
  <c r="AJ103" i="12" s="1"/>
  <c r="I57" i="7"/>
  <c r="AI103" i="12" s="1"/>
  <c r="H57" i="7"/>
  <c r="AH103" i="12" s="1"/>
  <c r="G57" i="7"/>
  <c r="AG103" i="12" s="1"/>
  <c r="F57" i="7"/>
  <c r="AF103" i="12" s="1"/>
  <c r="E57" i="7"/>
  <c r="AE103" i="12" s="1"/>
  <c r="D57" i="7"/>
  <c r="AD103" i="12" s="1"/>
  <c r="C57" i="7"/>
  <c r="AC103" i="12" s="1"/>
  <c r="B57" i="7"/>
  <c r="AB103" i="12" s="1"/>
  <c r="M56" i="7"/>
  <c r="AM101" i="12" s="1"/>
  <c r="K56" i="7"/>
  <c r="AK101" i="12" s="1"/>
  <c r="J56" i="7"/>
  <c r="AJ101" i="12" s="1"/>
  <c r="I56" i="7"/>
  <c r="AI101" i="12" s="1"/>
  <c r="G56" i="7"/>
  <c r="AG101" i="12" s="1"/>
  <c r="F56" i="7"/>
  <c r="AF101" i="12" s="1"/>
  <c r="E56" i="7"/>
  <c r="AE101" i="12" s="1"/>
  <c r="B56" i="7"/>
  <c r="M55" i="7"/>
  <c r="AM100" i="12" s="1"/>
  <c r="L55" i="7"/>
  <c r="AL100" i="12" s="1"/>
  <c r="C55" i="7"/>
  <c r="AC100" i="12" s="1"/>
  <c r="B55" i="7"/>
  <c r="M54" i="7"/>
  <c r="AM99" i="12" s="1"/>
  <c r="L54" i="7"/>
  <c r="K54" i="7"/>
  <c r="AK99" i="12" s="1"/>
  <c r="J54" i="7"/>
  <c r="I54" i="7"/>
  <c r="AI99" i="12" s="1"/>
  <c r="H54" i="7"/>
  <c r="G54" i="7"/>
  <c r="AG99" i="12" s="1"/>
  <c r="F54" i="7"/>
  <c r="E54" i="7"/>
  <c r="AE99" i="12" s="1"/>
  <c r="D54" i="7"/>
  <c r="C54" i="7"/>
  <c r="AC99" i="12" s="1"/>
  <c r="B54" i="7"/>
  <c r="N53" i="7"/>
  <c r="M51" i="7"/>
  <c r="AM89" i="12" s="1"/>
  <c r="L51" i="7"/>
  <c r="AL89" i="12" s="1"/>
  <c r="K51" i="7"/>
  <c r="AK89" i="12" s="1"/>
  <c r="J51" i="7"/>
  <c r="AJ89" i="12" s="1"/>
  <c r="I51" i="7"/>
  <c r="AI89" i="12" s="1"/>
  <c r="H51" i="7"/>
  <c r="AH89" i="12" s="1"/>
  <c r="G51" i="7"/>
  <c r="AG89" i="12" s="1"/>
  <c r="F51" i="7"/>
  <c r="AF89" i="12" s="1"/>
  <c r="E51" i="7"/>
  <c r="AE89" i="12" s="1"/>
  <c r="D51" i="7"/>
  <c r="AD89" i="12" s="1"/>
  <c r="C51" i="7"/>
  <c r="AC89" i="12" s="1"/>
  <c r="B51" i="7"/>
  <c r="M50" i="7"/>
  <c r="AM88" i="12" s="1"/>
  <c r="L50" i="7"/>
  <c r="AL88" i="12" s="1"/>
  <c r="K50" i="7"/>
  <c r="AK88" i="12" s="1"/>
  <c r="J50" i="7"/>
  <c r="AJ88" i="12" s="1"/>
  <c r="I50" i="7"/>
  <c r="AI88" i="12" s="1"/>
  <c r="H50" i="7"/>
  <c r="AH88" i="12" s="1"/>
  <c r="G50" i="7"/>
  <c r="AG88" i="12" s="1"/>
  <c r="F50" i="7"/>
  <c r="AF88" i="12" s="1"/>
  <c r="E50" i="7"/>
  <c r="AE88" i="12" s="1"/>
  <c r="D50" i="7"/>
  <c r="AD88" i="12" s="1"/>
  <c r="C50" i="7"/>
  <c r="AC88" i="12" s="1"/>
  <c r="B50" i="7"/>
  <c r="M48" i="7"/>
  <c r="AM86" i="12" s="1"/>
  <c r="L48" i="7"/>
  <c r="AL86" i="12" s="1"/>
  <c r="K48" i="7"/>
  <c r="AK86" i="12" s="1"/>
  <c r="J48" i="7"/>
  <c r="AJ86" i="12" s="1"/>
  <c r="I48" i="7"/>
  <c r="AI86" i="12" s="1"/>
  <c r="H48" i="7"/>
  <c r="AH86" i="12" s="1"/>
  <c r="G48" i="7"/>
  <c r="AG86" i="12" s="1"/>
  <c r="F48" i="7"/>
  <c r="AF86" i="12" s="1"/>
  <c r="E48" i="7"/>
  <c r="AE86" i="12" s="1"/>
  <c r="D48" i="7"/>
  <c r="AD86" i="12" s="1"/>
  <c r="C48" i="7"/>
  <c r="AC86" i="12" s="1"/>
  <c r="B48" i="7"/>
  <c r="AB86" i="12" s="1"/>
  <c r="M47" i="7"/>
  <c r="L47" i="7"/>
  <c r="K47" i="7"/>
  <c r="AK85" i="12" s="1"/>
  <c r="J47" i="7"/>
  <c r="I47" i="7"/>
  <c r="H47" i="7"/>
  <c r="G47" i="7"/>
  <c r="AG85" i="12" s="1"/>
  <c r="F47" i="7"/>
  <c r="E47" i="7"/>
  <c r="D47" i="7"/>
  <c r="B47" i="7"/>
  <c r="K46" i="7"/>
  <c r="AK84" i="12" s="1"/>
  <c r="G46" i="7"/>
  <c r="AG84" i="12" s="1"/>
  <c r="F46" i="7"/>
  <c r="AF84" i="12" s="1"/>
  <c r="E46" i="7"/>
  <c r="AE84" i="12" s="1"/>
  <c r="D46" i="7"/>
  <c r="AD84" i="12" s="1"/>
  <c r="C46" i="7"/>
  <c r="AC84" i="12" s="1"/>
  <c r="B46" i="7"/>
  <c r="M45" i="7"/>
  <c r="AM82" i="12" s="1"/>
  <c r="L45" i="7"/>
  <c r="AL82" i="12" s="1"/>
  <c r="K45" i="7"/>
  <c r="AK82" i="12" s="1"/>
  <c r="J45" i="7"/>
  <c r="AJ82" i="12" s="1"/>
  <c r="I45" i="7"/>
  <c r="AI82" i="12" s="1"/>
  <c r="H45" i="7"/>
  <c r="AH82" i="12" s="1"/>
  <c r="G45" i="7"/>
  <c r="AG82" i="12" s="1"/>
  <c r="F45" i="7"/>
  <c r="AF82" i="12" s="1"/>
  <c r="E45" i="7"/>
  <c r="AE82" i="12" s="1"/>
  <c r="D45" i="7"/>
  <c r="AD82" i="12" s="1"/>
  <c r="C45" i="7"/>
  <c r="AC82" i="12" s="1"/>
  <c r="B45" i="7"/>
  <c r="M44" i="7"/>
  <c r="AM81" i="12" s="1"/>
  <c r="K44" i="7"/>
  <c r="AK81" i="12" s="1"/>
  <c r="I44" i="7"/>
  <c r="AI81" i="12" s="1"/>
  <c r="H44" i="7"/>
  <c r="AH81" i="12" s="1"/>
  <c r="G44" i="7"/>
  <c r="AG81" i="12" s="1"/>
  <c r="E44" i="7"/>
  <c r="AE81" i="12" s="1"/>
  <c r="D44" i="7"/>
  <c r="AD81" i="12" s="1"/>
  <c r="B44" i="7"/>
  <c r="K43" i="7"/>
  <c r="AK80" i="12" s="1"/>
  <c r="J43" i="7"/>
  <c r="AJ80" i="12" s="1"/>
  <c r="I43" i="7"/>
  <c r="AI80" i="12" s="1"/>
  <c r="H43" i="7"/>
  <c r="AH80" i="12" s="1"/>
  <c r="G43" i="7"/>
  <c r="AG80" i="12" s="1"/>
  <c r="F43" i="7"/>
  <c r="AF80" i="12" s="1"/>
  <c r="E43" i="7"/>
  <c r="AE80" i="12" s="1"/>
  <c r="D43" i="7"/>
  <c r="AD80" i="12" s="1"/>
  <c r="B43" i="7"/>
  <c r="AB80" i="12" s="1"/>
  <c r="F42" i="7"/>
  <c r="AF79" i="12" s="1"/>
  <c r="M41" i="7"/>
  <c r="AM77" i="12" s="1"/>
  <c r="K41" i="7"/>
  <c r="AK77" i="12" s="1"/>
  <c r="J41" i="7"/>
  <c r="AJ77" i="12" s="1"/>
  <c r="M40" i="7"/>
  <c r="AM76" i="12" s="1"/>
  <c r="K40" i="7"/>
  <c r="AK76" i="12" s="1"/>
  <c r="J40" i="7"/>
  <c r="AJ76" i="12" s="1"/>
  <c r="I40" i="7"/>
  <c r="H40" i="7"/>
  <c r="AH76" i="12" s="1"/>
  <c r="C40" i="7"/>
  <c r="M39" i="7"/>
  <c r="L39" i="7"/>
  <c r="K39" i="7"/>
  <c r="J39" i="7"/>
  <c r="I39" i="7"/>
  <c r="AI73" i="12" s="1"/>
  <c r="H39" i="7"/>
  <c r="G39" i="7"/>
  <c r="E39" i="7"/>
  <c r="AE73" i="12" s="1"/>
  <c r="D39" i="7"/>
  <c r="C39" i="7"/>
  <c r="AC73" i="12" s="1"/>
  <c r="B39" i="7"/>
  <c r="N38" i="7"/>
  <c r="I37" i="7"/>
  <c r="AI71" i="12" s="1"/>
  <c r="H37" i="7"/>
  <c r="AH71" i="12" s="1"/>
  <c r="F37" i="7"/>
  <c r="AF71" i="12" s="1"/>
  <c r="E37" i="7"/>
  <c r="AE71" i="12" s="1"/>
  <c r="C37" i="7"/>
  <c r="AC71" i="12" s="1"/>
  <c r="B37" i="7"/>
  <c r="AB71" i="12" s="1"/>
  <c r="M36" i="7"/>
  <c r="AM70" i="12" s="1"/>
  <c r="L36" i="7"/>
  <c r="M35" i="7"/>
  <c r="L35" i="7"/>
  <c r="K35" i="7"/>
  <c r="J35" i="7"/>
  <c r="G35" i="7"/>
  <c r="F35" i="7"/>
  <c r="AF69" i="12" s="1"/>
  <c r="D35" i="7"/>
  <c r="N34" i="7"/>
  <c r="K32" i="7"/>
  <c r="AK65" i="12" s="1"/>
  <c r="J32" i="7"/>
  <c r="AJ65" i="12" s="1"/>
  <c r="I32" i="7"/>
  <c r="AI65" i="12" s="1"/>
  <c r="H32" i="7"/>
  <c r="AH65" i="12" s="1"/>
  <c r="G32" i="7"/>
  <c r="AG65" i="12" s="1"/>
  <c r="F32" i="7"/>
  <c r="B32" i="7"/>
  <c r="AB65" i="12" s="1"/>
  <c r="M31" i="7"/>
  <c r="L31" i="7"/>
  <c r="J31" i="7"/>
  <c r="I31" i="7"/>
  <c r="H31" i="7"/>
  <c r="G31" i="7"/>
  <c r="F31" i="7"/>
  <c r="E31" i="7"/>
  <c r="D31" i="7"/>
  <c r="C31" i="7"/>
  <c r="B31" i="7"/>
  <c r="M30" i="7"/>
  <c r="AM63" i="12" s="1"/>
  <c r="L30" i="7"/>
  <c r="AL63" i="12" s="1"/>
  <c r="K30" i="7"/>
  <c r="AK63" i="12" s="1"/>
  <c r="J30" i="7"/>
  <c r="AJ63" i="12" s="1"/>
  <c r="I30" i="7"/>
  <c r="AI63" i="12" s="1"/>
  <c r="H30" i="7"/>
  <c r="G30" i="7"/>
  <c r="AG63" i="12" s="1"/>
  <c r="D30" i="7"/>
  <c r="C30" i="7"/>
  <c r="AC63" i="12" s="1"/>
  <c r="J29" i="7"/>
  <c r="AJ62" i="12" s="1"/>
  <c r="F29" i="7"/>
  <c r="AF62" i="12" s="1"/>
  <c r="E29" i="7"/>
  <c r="AE62" i="12" s="1"/>
  <c r="B29" i="7"/>
  <c r="K28" i="7"/>
  <c r="AK61" i="12" s="1"/>
  <c r="J28" i="7"/>
  <c r="M27" i="7"/>
  <c r="AM57" i="12" s="1"/>
  <c r="L27" i="7"/>
  <c r="AL57" i="12" s="1"/>
  <c r="K27" i="7"/>
  <c r="AK57" i="12" s="1"/>
  <c r="J27" i="7"/>
  <c r="AJ57" i="12" s="1"/>
  <c r="I27" i="7"/>
  <c r="AI57" i="12" s="1"/>
  <c r="H27" i="7"/>
  <c r="AH57" i="12" s="1"/>
  <c r="G27" i="7"/>
  <c r="AG57" i="12" s="1"/>
  <c r="F27" i="7"/>
  <c r="E27" i="7"/>
  <c r="AE57" i="12" s="1"/>
  <c r="D27" i="7"/>
  <c r="AD57" i="12" s="1"/>
  <c r="C27" i="7"/>
  <c r="AC57" i="12" s="1"/>
  <c r="B27" i="7"/>
  <c r="AB57" i="12" s="1"/>
  <c r="N26" i="7"/>
  <c r="M22" i="7"/>
  <c r="AM45" i="12" s="1"/>
  <c r="L22" i="7"/>
  <c r="AL45" i="12" s="1"/>
  <c r="J22" i="7"/>
  <c r="AJ45" i="12" s="1"/>
  <c r="I22" i="7"/>
  <c r="AI45" i="12" s="1"/>
  <c r="H22" i="7"/>
  <c r="AH45" i="12" s="1"/>
  <c r="G22" i="7"/>
  <c r="AG45" i="12" s="1"/>
  <c r="F22" i="7"/>
  <c r="AF45" i="12" s="1"/>
  <c r="E22" i="7"/>
  <c r="B22" i="7"/>
  <c r="AB45" i="12" s="1"/>
  <c r="M21" i="7"/>
  <c r="AM44" i="12" s="1"/>
  <c r="L21" i="7"/>
  <c r="AL44" i="12" s="1"/>
  <c r="K21" i="7"/>
  <c r="AK44" i="12" s="1"/>
  <c r="I21" i="7"/>
  <c r="AI44" i="12" s="1"/>
  <c r="H21" i="7"/>
  <c r="AH44" i="12" s="1"/>
  <c r="G21" i="7"/>
  <c r="AG44" i="12" s="1"/>
  <c r="E21" i="7"/>
  <c r="AE44" i="12" s="1"/>
  <c r="D21" i="7"/>
  <c r="AD44" i="12" s="1"/>
  <c r="C21" i="7"/>
  <c r="AC44" i="12" s="1"/>
  <c r="B21" i="7"/>
  <c r="M20" i="7"/>
  <c r="AM43" i="12" s="1"/>
  <c r="L20" i="7"/>
  <c r="AL43" i="12" s="1"/>
  <c r="K20" i="7"/>
  <c r="AK43" i="12" s="1"/>
  <c r="J20" i="7"/>
  <c r="AJ43" i="12" s="1"/>
  <c r="I20" i="7"/>
  <c r="AI43" i="12" s="1"/>
  <c r="H20" i="7"/>
  <c r="AH43" i="12" s="1"/>
  <c r="G20" i="7"/>
  <c r="AG43" i="12" s="1"/>
  <c r="F20" i="7"/>
  <c r="AF43" i="12" s="1"/>
  <c r="E20" i="7"/>
  <c r="AE43" i="12" s="1"/>
  <c r="D20" i="7"/>
  <c r="AD43" i="12" s="1"/>
  <c r="C20" i="7"/>
  <c r="AC43" i="12" s="1"/>
  <c r="B20" i="7"/>
  <c r="AB43" i="12" s="1"/>
  <c r="M19" i="7"/>
  <c r="AM42" i="12" s="1"/>
  <c r="L19" i="7"/>
  <c r="AL42" i="12" s="1"/>
  <c r="K19" i="7"/>
  <c r="AK42" i="12" s="1"/>
  <c r="J19" i="7"/>
  <c r="AJ42" i="12" s="1"/>
  <c r="I19" i="7"/>
  <c r="AI42" i="12" s="1"/>
  <c r="H19" i="7"/>
  <c r="AH42" i="12" s="1"/>
  <c r="G19" i="7"/>
  <c r="AG42" i="12" s="1"/>
  <c r="F19" i="7"/>
  <c r="AF42" i="12" s="1"/>
  <c r="E19" i="7"/>
  <c r="AE42" i="12" s="1"/>
  <c r="D19" i="7"/>
  <c r="AD42" i="12" s="1"/>
  <c r="C19" i="7"/>
  <c r="AC42" i="12" s="1"/>
  <c r="B19" i="7"/>
  <c r="M17" i="7"/>
  <c r="AM40" i="12" s="1"/>
  <c r="L17" i="7"/>
  <c r="AL40" i="12" s="1"/>
  <c r="K17" i="7"/>
  <c r="AK40" i="12" s="1"/>
  <c r="J17" i="7"/>
  <c r="AJ40" i="12" s="1"/>
  <c r="I17" i="7"/>
  <c r="AI40" i="12" s="1"/>
  <c r="H17" i="7"/>
  <c r="AH40" i="12" s="1"/>
  <c r="G17" i="7"/>
  <c r="AG40" i="12" s="1"/>
  <c r="F17" i="7"/>
  <c r="AF40" i="12" s="1"/>
  <c r="E17" i="7"/>
  <c r="AE40" i="12" s="1"/>
  <c r="D17" i="7"/>
  <c r="AD40" i="12" s="1"/>
  <c r="C17" i="7"/>
  <c r="AC40" i="12" s="1"/>
  <c r="B17" i="7"/>
  <c r="M16" i="7"/>
  <c r="AM39" i="12" s="1"/>
  <c r="L16" i="7"/>
  <c r="AL39" i="12" s="1"/>
  <c r="K16" i="7"/>
  <c r="AK39" i="12" s="1"/>
  <c r="J16" i="7"/>
  <c r="AJ39" i="12" s="1"/>
  <c r="I16" i="7"/>
  <c r="AI39" i="12" s="1"/>
  <c r="H16" i="7"/>
  <c r="AH39" i="12" s="1"/>
  <c r="G16" i="7"/>
  <c r="AG39" i="12" s="1"/>
  <c r="F16" i="7"/>
  <c r="AF39" i="12" s="1"/>
  <c r="E16" i="7"/>
  <c r="AE39" i="12" s="1"/>
  <c r="D16" i="7"/>
  <c r="AD39" i="12" s="1"/>
  <c r="C16" i="7"/>
  <c r="AC39" i="12" s="1"/>
  <c r="B16" i="7"/>
  <c r="AB39" i="12" s="1"/>
  <c r="M15" i="7"/>
  <c r="AM37" i="12" s="1"/>
  <c r="L15" i="7"/>
  <c r="AL37" i="12" s="1"/>
  <c r="K15" i="7"/>
  <c r="AK37" i="12" s="1"/>
  <c r="J15" i="7"/>
  <c r="AJ37" i="12" s="1"/>
  <c r="I15" i="7"/>
  <c r="AI37" i="12" s="1"/>
  <c r="H15" i="7"/>
  <c r="AH37" i="12" s="1"/>
  <c r="G15" i="7"/>
  <c r="AG37" i="12" s="1"/>
  <c r="F15" i="7"/>
  <c r="AF37" i="12" s="1"/>
  <c r="E15" i="7"/>
  <c r="AE37" i="12" s="1"/>
  <c r="D15" i="7"/>
  <c r="AD37" i="12" s="1"/>
  <c r="C15" i="7"/>
  <c r="AC37" i="12" s="1"/>
  <c r="B15" i="7"/>
  <c r="M14" i="7"/>
  <c r="L14" i="7"/>
  <c r="K14" i="7"/>
  <c r="J14" i="7"/>
  <c r="I14" i="7"/>
  <c r="H14" i="7"/>
  <c r="G14" i="7"/>
  <c r="F14" i="7"/>
  <c r="E14" i="7"/>
  <c r="AE36" i="12" s="1"/>
  <c r="D14" i="7"/>
  <c r="C14" i="7"/>
  <c r="B14" i="7"/>
  <c r="N13" i="7"/>
  <c r="M12" i="7"/>
  <c r="AM34" i="12" s="1"/>
  <c r="L12" i="7"/>
  <c r="AL34" i="12" s="1"/>
  <c r="K12" i="7"/>
  <c r="AK34" i="12" s="1"/>
  <c r="J12" i="7"/>
  <c r="AJ34" i="12" s="1"/>
  <c r="I12" i="7"/>
  <c r="AI34" i="12" s="1"/>
  <c r="H12" i="7"/>
  <c r="AH34" i="12" s="1"/>
  <c r="G12" i="7"/>
  <c r="AG34" i="12" s="1"/>
  <c r="F12" i="7"/>
  <c r="AF34" i="12" s="1"/>
  <c r="E12" i="7"/>
  <c r="AE34" i="12" s="1"/>
  <c r="D12" i="7"/>
  <c r="AD34" i="12" s="1"/>
  <c r="C12" i="7"/>
  <c r="AC34" i="12" s="1"/>
  <c r="B12" i="7"/>
  <c r="AB34" i="12" s="1"/>
  <c r="M11" i="7"/>
  <c r="AM33" i="12" s="1"/>
  <c r="L11" i="7"/>
  <c r="K11" i="7"/>
  <c r="AK33" i="12" s="1"/>
  <c r="J11" i="7"/>
  <c r="AJ33" i="12" s="1"/>
  <c r="I11" i="7"/>
  <c r="AI33" i="12" s="1"/>
  <c r="H11" i="7"/>
  <c r="G11" i="7"/>
  <c r="AG33" i="12" s="1"/>
  <c r="F11" i="7"/>
  <c r="AF33" i="12" s="1"/>
  <c r="E11" i="7"/>
  <c r="AE33" i="12" s="1"/>
  <c r="D11" i="7"/>
  <c r="C11" i="7"/>
  <c r="AC33" i="12" s="1"/>
  <c r="B11" i="7"/>
  <c r="AB33" i="12" s="1"/>
  <c r="I9" i="7"/>
  <c r="AI31" i="12" s="1"/>
  <c r="M8" i="7"/>
  <c r="AM30" i="12" s="1"/>
  <c r="AK8" i="26" s="1"/>
  <c r="L8" i="7"/>
  <c r="AL30" i="12" s="1"/>
  <c r="AJ8" i="26" s="1"/>
  <c r="K8" i="7"/>
  <c r="AK30" i="12" s="1"/>
  <c r="AI8" i="26" s="1"/>
  <c r="J8" i="7"/>
  <c r="AJ30" i="12" s="1"/>
  <c r="AH8" i="26" s="1"/>
  <c r="I8" i="7"/>
  <c r="AI30" i="12" s="1"/>
  <c r="AG8" i="26" s="1"/>
  <c r="H8" i="7"/>
  <c r="AH30" i="12" s="1"/>
  <c r="AF8" i="26" s="1"/>
  <c r="G8" i="7"/>
  <c r="AG30" i="12" s="1"/>
  <c r="AE8" i="26" s="1"/>
  <c r="F8" i="7"/>
  <c r="AF30" i="12" s="1"/>
  <c r="AD8" i="26" s="1"/>
  <c r="E8" i="7"/>
  <c r="AE30" i="12" s="1"/>
  <c r="AC8" i="26" s="1"/>
  <c r="D8" i="7"/>
  <c r="AD30" i="12" s="1"/>
  <c r="AB8" i="26" s="1"/>
  <c r="C8" i="7"/>
  <c r="AC30" i="12" s="1"/>
  <c r="AA8" i="26" s="1"/>
  <c r="B8" i="7"/>
  <c r="M7" i="7"/>
  <c r="AM29" i="12" s="1"/>
  <c r="AK7" i="26" s="1"/>
  <c r="AK9" i="26" s="1"/>
  <c r="L7" i="7"/>
  <c r="K7" i="7"/>
  <c r="J7" i="7"/>
  <c r="I7" i="7"/>
  <c r="AI29" i="12" s="1"/>
  <c r="AG7" i="26" s="1"/>
  <c r="AG9" i="26" s="1"/>
  <c r="H7" i="7"/>
  <c r="G7" i="7"/>
  <c r="F7" i="7"/>
  <c r="E7" i="7"/>
  <c r="AE29" i="12" s="1"/>
  <c r="AC7" i="26" s="1"/>
  <c r="AC9" i="26" s="1"/>
  <c r="D7" i="7"/>
  <c r="C7" i="7"/>
  <c r="B7" i="7"/>
  <c r="AB29" i="12" s="1"/>
  <c r="Z7" i="26" s="1"/>
  <c r="M104" i="6"/>
  <c r="AY167" i="12" s="1"/>
  <c r="L104" i="6"/>
  <c r="AX167" i="12" s="1"/>
  <c r="K104" i="6"/>
  <c r="AW167" i="12" s="1"/>
  <c r="J104" i="6"/>
  <c r="I104" i="6"/>
  <c r="AU167" i="12" s="1"/>
  <c r="H104" i="6"/>
  <c r="AT167" i="12" s="1"/>
  <c r="G104" i="6"/>
  <c r="AS167" i="12" s="1"/>
  <c r="F104" i="6"/>
  <c r="AR167" i="12" s="1"/>
  <c r="E104" i="6"/>
  <c r="AQ167" i="12" s="1"/>
  <c r="D104" i="6"/>
  <c r="AP167" i="12" s="1"/>
  <c r="C104" i="6"/>
  <c r="AO167" i="12" s="1"/>
  <c r="B104" i="6"/>
  <c r="C103" i="6"/>
  <c r="AO166" i="12" s="1"/>
  <c r="M102" i="6"/>
  <c r="L102" i="6"/>
  <c r="K102" i="6"/>
  <c r="AW165" i="12" s="1"/>
  <c r="J102" i="6"/>
  <c r="I102" i="6"/>
  <c r="H102" i="6"/>
  <c r="G102" i="6"/>
  <c r="AS165" i="12" s="1"/>
  <c r="F102" i="6"/>
  <c r="E102" i="6"/>
  <c r="D102" i="6"/>
  <c r="C102" i="6"/>
  <c r="AO165" i="12" s="1"/>
  <c r="B102" i="6"/>
  <c r="N101" i="6"/>
  <c r="M98" i="6"/>
  <c r="L98" i="6"/>
  <c r="K98" i="6"/>
  <c r="J98" i="6"/>
  <c r="AV155" i="12" s="1"/>
  <c r="I98" i="6"/>
  <c r="H98" i="6"/>
  <c r="G98" i="6"/>
  <c r="AS155" i="12" s="1"/>
  <c r="F98" i="6"/>
  <c r="AR155" i="12" s="1"/>
  <c r="E98" i="6"/>
  <c r="D98" i="6"/>
  <c r="C98" i="6"/>
  <c r="B98" i="6"/>
  <c r="AN155" i="12" s="1"/>
  <c r="J94" i="6"/>
  <c r="AV147" i="12" s="1"/>
  <c r="H94" i="6"/>
  <c r="AT147" i="12" s="1"/>
  <c r="K93" i="6"/>
  <c r="M89" i="6"/>
  <c r="L89" i="6"/>
  <c r="K89" i="6"/>
  <c r="J89" i="6"/>
  <c r="I89" i="6"/>
  <c r="H89" i="6"/>
  <c r="G89" i="6"/>
  <c r="M88" i="6"/>
  <c r="L88" i="6"/>
  <c r="L90" i="6" s="1"/>
  <c r="AX133" i="12" s="1"/>
  <c r="K88" i="6"/>
  <c r="J88" i="6"/>
  <c r="I88" i="6"/>
  <c r="H88" i="6"/>
  <c r="H90" i="6" s="1"/>
  <c r="AT133" i="12" s="1"/>
  <c r="G88" i="6"/>
  <c r="F88" i="6"/>
  <c r="E88" i="6"/>
  <c r="E90" i="6" s="1"/>
  <c r="AQ133" i="12" s="1"/>
  <c r="D88" i="6"/>
  <c r="C88" i="6"/>
  <c r="B88" i="6"/>
  <c r="I87" i="6"/>
  <c r="AU78" i="12" s="1"/>
  <c r="G87" i="6"/>
  <c r="AS78" i="12" s="1"/>
  <c r="F87" i="6"/>
  <c r="E87" i="6"/>
  <c r="AQ78" i="12" s="1"/>
  <c r="D87" i="6"/>
  <c r="C87" i="6"/>
  <c r="AO78" i="12" s="1"/>
  <c r="B87" i="6"/>
  <c r="M85" i="6"/>
  <c r="M86" i="6" s="1"/>
  <c r="AY131" i="12" s="1"/>
  <c r="L85" i="6"/>
  <c r="L86" i="6" s="1"/>
  <c r="K85" i="6"/>
  <c r="K86" i="6" s="1"/>
  <c r="AW131" i="12" s="1"/>
  <c r="J85" i="6"/>
  <c r="J86" i="6" s="1"/>
  <c r="AV131" i="12" s="1"/>
  <c r="I85" i="6"/>
  <c r="I86" i="6" s="1"/>
  <c r="AU131" i="12" s="1"/>
  <c r="H85" i="6"/>
  <c r="H86" i="6" s="1"/>
  <c r="AT131" i="12" s="1"/>
  <c r="G85" i="6"/>
  <c r="G86" i="6" s="1"/>
  <c r="AS131" i="12" s="1"/>
  <c r="F85" i="6"/>
  <c r="F86" i="6" s="1"/>
  <c r="AR131" i="12" s="1"/>
  <c r="E85" i="6"/>
  <c r="E86" i="6" s="1"/>
  <c r="AQ131" i="12" s="1"/>
  <c r="D85" i="6"/>
  <c r="D86" i="6" s="1"/>
  <c r="C85" i="6"/>
  <c r="C86" i="6" s="1"/>
  <c r="AO131" i="12" s="1"/>
  <c r="B85" i="6"/>
  <c r="B86" i="6" s="1"/>
  <c r="AN131" i="12" s="1"/>
  <c r="N84" i="6"/>
  <c r="M82" i="6"/>
  <c r="L82" i="6"/>
  <c r="K82" i="6"/>
  <c r="J82" i="6"/>
  <c r="AV128" i="12" s="1"/>
  <c r="I82" i="6"/>
  <c r="H82" i="6"/>
  <c r="G82" i="6"/>
  <c r="F82" i="6"/>
  <c r="AR128" i="12" s="1"/>
  <c r="E82" i="6"/>
  <c r="D82" i="6"/>
  <c r="C82" i="6"/>
  <c r="B82" i="6"/>
  <c r="AN128" i="12" s="1"/>
  <c r="N81" i="6"/>
  <c r="M79" i="6"/>
  <c r="AY125" i="12" s="1"/>
  <c r="L79" i="6"/>
  <c r="AX125" i="12" s="1"/>
  <c r="K79" i="6"/>
  <c r="AW125" i="12" s="1"/>
  <c r="J79" i="6"/>
  <c r="I79" i="6"/>
  <c r="AU125" i="12" s="1"/>
  <c r="H79" i="6"/>
  <c r="AT125" i="12" s="1"/>
  <c r="M78" i="6"/>
  <c r="AY124" i="12" s="1"/>
  <c r="L78" i="6"/>
  <c r="K78" i="6"/>
  <c r="J78" i="6"/>
  <c r="I78" i="6"/>
  <c r="H78" i="6"/>
  <c r="G78" i="6"/>
  <c r="F78" i="6"/>
  <c r="AR124" i="12" s="1"/>
  <c r="E78" i="6"/>
  <c r="AQ124" i="12" s="1"/>
  <c r="D78" i="6"/>
  <c r="AP124" i="12" s="1"/>
  <c r="C78" i="6"/>
  <c r="B78" i="6"/>
  <c r="G77" i="6"/>
  <c r="AS123" i="12" s="1"/>
  <c r="F77" i="6"/>
  <c r="AR123" i="12" s="1"/>
  <c r="E77" i="6"/>
  <c r="AQ123" i="12" s="1"/>
  <c r="D77" i="6"/>
  <c r="C77" i="6"/>
  <c r="AO123" i="12" s="1"/>
  <c r="B77" i="6"/>
  <c r="AN123" i="12" s="1"/>
  <c r="M76" i="6"/>
  <c r="AY122" i="12" s="1"/>
  <c r="L76" i="6"/>
  <c r="AX122" i="12" s="1"/>
  <c r="K76" i="6"/>
  <c r="AW122" i="12" s="1"/>
  <c r="J76" i="6"/>
  <c r="AV122" i="12" s="1"/>
  <c r="M75" i="6"/>
  <c r="AY121" i="12" s="1"/>
  <c r="L75" i="6"/>
  <c r="AX121" i="12" s="1"/>
  <c r="K75" i="6"/>
  <c r="AW121" i="12" s="1"/>
  <c r="J75" i="6"/>
  <c r="AV121" i="12" s="1"/>
  <c r="I75" i="6"/>
  <c r="AU121" i="12" s="1"/>
  <c r="H75" i="6"/>
  <c r="AT121" i="12" s="1"/>
  <c r="G75" i="6"/>
  <c r="AS121" i="12" s="1"/>
  <c r="F75" i="6"/>
  <c r="AR121" i="12" s="1"/>
  <c r="E75" i="6"/>
  <c r="AQ121" i="12" s="1"/>
  <c r="D75" i="6"/>
  <c r="AP121" i="12" s="1"/>
  <c r="C75" i="6"/>
  <c r="AO121" i="12" s="1"/>
  <c r="B75" i="6"/>
  <c r="M74" i="6"/>
  <c r="AY120" i="12" s="1"/>
  <c r="L74" i="6"/>
  <c r="AX120" i="12" s="1"/>
  <c r="K74" i="6"/>
  <c r="AW120" i="12" s="1"/>
  <c r="J74" i="6"/>
  <c r="AV120" i="12" s="1"/>
  <c r="I74" i="6"/>
  <c r="AU120" i="12" s="1"/>
  <c r="H74" i="6"/>
  <c r="AT120" i="12" s="1"/>
  <c r="G74" i="6"/>
  <c r="AS120" i="12" s="1"/>
  <c r="F74" i="6"/>
  <c r="AR120" i="12" s="1"/>
  <c r="E74" i="6"/>
  <c r="AQ120" i="12" s="1"/>
  <c r="D74" i="6"/>
  <c r="AP120" i="12" s="1"/>
  <c r="C74" i="6"/>
  <c r="AO120" i="12" s="1"/>
  <c r="B74" i="6"/>
  <c r="AN120" i="12" s="1"/>
  <c r="M73" i="6"/>
  <c r="AY119" i="12" s="1"/>
  <c r="L73" i="6"/>
  <c r="AX119" i="12" s="1"/>
  <c r="K73" i="6"/>
  <c r="AW119" i="12" s="1"/>
  <c r="J73" i="6"/>
  <c r="AV119" i="12" s="1"/>
  <c r="I73" i="6"/>
  <c r="AU119" i="12" s="1"/>
  <c r="H73" i="6"/>
  <c r="AT119" i="12" s="1"/>
  <c r="G73" i="6"/>
  <c r="AS119" i="12" s="1"/>
  <c r="F73" i="6"/>
  <c r="AR119" i="12" s="1"/>
  <c r="E73" i="6"/>
  <c r="AQ119" i="12" s="1"/>
  <c r="D73" i="6"/>
  <c r="AP119" i="12" s="1"/>
  <c r="C73" i="6"/>
  <c r="AO119" i="12" s="1"/>
  <c r="B73" i="6"/>
  <c r="AN119" i="12" s="1"/>
  <c r="N72" i="6"/>
  <c r="M70" i="6"/>
  <c r="AY111" i="12" s="1"/>
  <c r="L70" i="6"/>
  <c r="AX111" i="12" s="1"/>
  <c r="K70" i="6"/>
  <c r="AW111" i="12" s="1"/>
  <c r="J70" i="6"/>
  <c r="AV111" i="12" s="1"/>
  <c r="I70" i="6"/>
  <c r="AU111" i="12" s="1"/>
  <c r="H70" i="6"/>
  <c r="AT111" i="12" s="1"/>
  <c r="G70" i="6"/>
  <c r="AS111" i="12" s="1"/>
  <c r="F70" i="6"/>
  <c r="AR111" i="12" s="1"/>
  <c r="E70" i="6"/>
  <c r="AQ111" i="12" s="1"/>
  <c r="D70" i="6"/>
  <c r="AP111" i="12" s="1"/>
  <c r="C70" i="6"/>
  <c r="AO111" i="12" s="1"/>
  <c r="B70" i="6"/>
  <c r="AN111" i="12" s="1"/>
  <c r="M69" i="6"/>
  <c r="AY110" i="12" s="1"/>
  <c r="L69" i="6"/>
  <c r="AX110" i="12" s="1"/>
  <c r="K69" i="6"/>
  <c r="AW110" i="12" s="1"/>
  <c r="J69" i="6"/>
  <c r="AV110" i="12" s="1"/>
  <c r="I69" i="6"/>
  <c r="AU110" i="12" s="1"/>
  <c r="H69" i="6"/>
  <c r="AT110" i="12" s="1"/>
  <c r="G69" i="6"/>
  <c r="AS110" i="12" s="1"/>
  <c r="F69" i="6"/>
  <c r="AR110" i="12" s="1"/>
  <c r="E69" i="6"/>
  <c r="AQ110" i="12" s="1"/>
  <c r="D69" i="6"/>
  <c r="AP110" i="12" s="1"/>
  <c r="C69" i="6"/>
  <c r="AO110" i="12" s="1"/>
  <c r="B69" i="6"/>
  <c r="AN110" i="12" s="1"/>
  <c r="G68" i="6"/>
  <c r="E68" i="6"/>
  <c r="AQ109" i="12" s="1"/>
  <c r="G67" i="6"/>
  <c r="M66" i="6"/>
  <c r="AY105" i="12" s="1"/>
  <c r="K66" i="6"/>
  <c r="AW105" i="12" s="1"/>
  <c r="J66" i="6"/>
  <c r="AV105" i="12" s="1"/>
  <c r="I66" i="6"/>
  <c r="AU105" i="12" s="1"/>
  <c r="H66" i="6"/>
  <c r="AT105" i="12" s="1"/>
  <c r="G66" i="6"/>
  <c r="AS105" i="12" s="1"/>
  <c r="F66" i="6"/>
  <c r="AR105" i="12" s="1"/>
  <c r="E66" i="6"/>
  <c r="D66" i="6"/>
  <c r="AP105" i="12" s="1"/>
  <c r="C66" i="6"/>
  <c r="AO105" i="12" s="1"/>
  <c r="B66" i="6"/>
  <c r="AN105" i="12" s="1"/>
  <c r="M65" i="6"/>
  <c r="AY104" i="12" s="1"/>
  <c r="L65" i="6"/>
  <c r="AX104" i="12" s="1"/>
  <c r="K65" i="6"/>
  <c r="AW104" i="12" s="1"/>
  <c r="J65" i="6"/>
  <c r="I65" i="6"/>
  <c r="AU104" i="12" s="1"/>
  <c r="H65" i="6"/>
  <c r="AT104" i="12" s="1"/>
  <c r="G65" i="6"/>
  <c r="AS104" i="12" s="1"/>
  <c r="F65" i="6"/>
  <c r="AR104" i="12" s="1"/>
  <c r="E65" i="6"/>
  <c r="AQ104" i="12" s="1"/>
  <c r="D65" i="6"/>
  <c r="AP104" i="12" s="1"/>
  <c r="C65" i="6"/>
  <c r="AO104" i="12" s="1"/>
  <c r="B65" i="6"/>
  <c r="M64" i="6"/>
  <c r="AY103" i="12" s="1"/>
  <c r="L64" i="6"/>
  <c r="AX103" i="12" s="1"/>
  <c r="K64" i="6"/>
  <c r="AW103" i="12" s="1"/>
  <c r="J64" i="6"/>
  <c r="AV103" i="12" s="1"/>
  <c r="I64" i="6"/>
  <c r="AU103" i="12" s="1"/>
  <c r="H64" i="6"/>
  <c r="AT103" i="12" s="1"/>
  <c r="G64" i="6"/>
  <c r="AS103" i="12" s="1"/>
  <c r="F64" i="6"/>
  <c r="AR103" i="12" s="1"/>
  <c r="E64" i="6"/>
  <c r="AQ103" i="12" s="1"/>
  <c r="D64" i="6"/>
  <c r="AP103" i="12" s="1"/>
  <c r="C64" i="6"/>
  <c r="AO103" i="12" s="1"/>
  <c r="B64" i="6"/>
  <c r="L63" i="6"/>
  <c r="AX101" i="12" s="1"/>
  <c r="J63" i="6"/>
  <c r="AV101" i="12" s="1"/>
  <c r="I63" i="6"/>
  <c r="AU101" i="12" s="1"/>
  <c r="H63" i="6"/>
  <c r="AT101" i="12" s="1"/>
  <c r="G63" i="6"/>
  <c r="AS101" i="12" s="1"/>
  <c r="F63" i="6"/>
  <c r="AR101" i="12" s="1"/>
  <c r="E63" i="6"/>
  <c r="AQ101" i="12" s="1"/>
  <c r="D63" i="6"/>
  <c r="AP101" i="12" s="1"/>
  <c r="B63" i="6"/>
  <c r="M62" i="6"/>
  <c r="AY100" i="12" s="1"/>
  <c r="L62" i="6"/>
  <c r="AX100" i="12" s="1"/>
  <c r="K62" i="6"/>
  <c r="AW100" i="12" s="1"/>
  <c r="J62" i="6"/>
  <c r="AV100" i="12" s="1"/>
  <c r="I62" i="6"/>
  <c r="AU100" i="12" s="1"/>
  <c r="H62" i="6"/>
  <c r="AT100" i="12" s="1"/>
  <c r="G62" i="6"/>
  <c r="AS100" i="12" s="1"/>
  <c r="F62" i="6"/>
  <c r="AR100" i="12" s="1"/>
  <c r="E62" i="6"/>
  <c r="AQ100" i="12" s="1"/>
  <c r="D62" i="6"/>
  <c r="AP100" i="12" s="1"/>
  <c r="C62" i="6"/>
  <c r="AO100" i="12" s="1"/>
  <c r="B62" i="6"/>
  <c r="M61" i="6"/>
  <c r="AY99" i="12" s="1"/>
  <c r="L61" i="6"/>
  <c r="AX99" i="12" s="1"/>
  <c r="K61" i="6"/>
  <c r="J61" i="6"/>
  <c r="AV99" i="12" s="1"/>
  <c r="I61" i="6"/>
  <c r="AU99" i="12" s="1"/>
  <c r="H61" i="6"/>
  <c r="AT99" i="12" s="1"/>
  <c r="G61" i="6"/>
  <c r="F61" i="6"/>
  <c r="AR99" i="12" s="1"/>
  <c r="E61" i="6"/>
  <c r="AQ99" i="12" s="1"/>
  <c r="D61" i="6"/>
  <c r="AP99" i="12" s="1"/>
  <c r="C61" i="6"/>
  <c r="B61" i="6"/>
  <c r="AN99" i="12" s="1"/>
  <c r="M60" i="6"/>
  <c r="AY96" i="12" s="1"/>
  <c r="L60" i="6"/>
  <c r="AX96" i="12" s="1"/>
  <c r="K60" i="6"/>
  <c r="AW96" i="12" s="1"/>
  <c r="J60" i="6"/>
  <c r="AV96" i="12" s="1"/>
  <c r="I60" i="6"/>
  <c r="AU96" i="12" s="1"/>
  <c r="H60" i="6"/>
  <c r="AT96" i="12" s="1"/>
  <c r="J59" i="6"/>
  <c r="M57" i="6"/>
  <c r="AY89" i="12" s="1"/>
  <c r="L57" i="6"/>
  <c r="AX89" i="12" s="1"/>
  <c r="K57" i="6"/>
  <c r="AW89" i="12" s="1"/>
  <c r="J57" i="6"/>
  <c r="AV89" i="12" s="1"/>
  <c r="I57" i="6"/>
  <c r="AU89" i="12" s="1"/>
  <c r="H57" i="6"/>
  <c r="AT89" i="12" s="1"/>
  <c r="G57" i="6"/>
  <c r="AS89" i="12" s="1"/>
  <c r="F57" i="6"/>
  <c r="AR89" i="12" s="1"/>
  <c r="E57" i="6"/>
  <c r="AQ89" i="12" s="1"/>
  <c r="D57" i="6"/>
  <c r="AP89" i="12" s="1"/>
  <c r="C57" i="6"/>
  <c r="AO89" i="12" s="1"/>
  <c r="B57" i="6"/>
  <c r="M56" i="6"/>
  <c r="AY88" i="12" s="1"/>
  <c r="L56" i="6"/>
  <c r="AX88" i="12" s="1"/>
  <c r="K56" i="6"/>
  <c r="AW88" i="12" s="1"/>
  <c r="J56" i="6"/>
  <c r="AV88" i="12" s="1"/>
  <c r="I56" i="6"/>
  <c r="AU88" i="12" s="1"/>
  <c r="H56" i="6"/>
  <c r="AT88" i="12" s="1"/>
  <c r="G56" i="6"/>
  <c r="AS88" i="12" s="1"/>
  <c r="F56" i="6"/>
  <c r="AR88" i="12" s="1"/>
  <c r="E56" i="6"/>
  <c r="AQ88" i="12" s="1"/>
  <c r="D56" i="6"/>
  <c r="AP88" i="12" s="1"/>
  <c r="C56" i="6"/>
  <c r="AO88" i="12" s="1"/>
  <c r="B56" i="6"/>
  <c r="M54" i="6"/>
  <c r="L54" i="6"/>
  <c r="AX86" i="12" s="1"/>
  <c r="K54" i="6"/>
  <c r="AW86" i="12" s="1"/>
  <c r="J54" i="6"/>
  <c r="AV86" i="12" s="1"/>
  <c r="I54" i="6"/>
  <c r="H54" i="6"/>
  <c r="AT86" i="12" s="1"/>
  <c r="G54" i="6"/>
  <c r="F54" i="6"/>
  <c r="AR86" i="12" s="1"/>
  <c r="E54" i="6"/>
  <c r="AQ86" i="12" s="1"/>
  <c r="D54" i="6"/>
  <c r="AP86" i="12" s="1"/>
  <c r="C54" i="6"/>
  <c r="B54" i="6"/>
  <c r="M53" i="6"/>
  <c r="AY85" i="12" s="1"/>
  <c r="L53" i="6"/>
  <c r="AX85" i="12" s="1"/>
  <c r="K53" i="6"/>
  <c r="J53" i="6"/>
  <c r="I53" i="6"/>
  <c r="AU85" i="12" s="1"/>
  <c r="H53" i="6"/>
  <c r="AT85" i="12" s="1"/>
  <c r="F53" i="6"/>
  <c r="E53" i="6"/>
  <c r="D53" i="6"/>
  <c r="AP85" i="12" s="1"/>
  <c r="B53" i="6"/>
  <c r="AN85" i="12" s="1"/>
  <c r="J52" i="6"/>
  <c r="F52" i="6"/>
  <c r="AR84" i="12" s="1"/>
  <c r="L51" i="6"/>
  <c r="AX83" i="12" s="1"/>
  <c r="K51" i="6"/>
  <c r="M50" i="6"/>
  <c r="AY82" i="12" s="1"/>
  <c r="L50" i="6"/>
  <c r="AX82" i="12" s="1"/>
  <c r="K50" i="6"/>
  <c r="AW82" i="12" s="1"/>
  <c r="J50" i="6"/>
  <c r="AV82" i="12" s="1"/>
  <c r="I50" i="6"/>
  <c r="AU82" i="12" s="1"/>
  <c r="H50" i="6"/>
  <c r="AT82" i="12" s="1"/>
  <c r="G50" i="6"/>
  <c r="AS82" i="12" s="1"/>
  <c r="F50" i="6"/>
  <c r="AR82" i="12" s="1"/>
  <c r="E50" i="6"/>
  <c r="AQ82" i="12" s="1"/>
  <c r="D50" i="6"/>
  <c r="AP82" i="12" s="1"/>
  <c r="C50" i="6"/>
  <c r="AO82" i="12" s="1"/>
  <c r="B50" i="6"/>
  <c r="M49" i="6"/>
  <c r="AY81" i="12" s="1"/>
  <c r="L49" i="6"/>
  <c r="AX81" i="12" s="1"/>
  <c r="K49" i="6"/>
  <c r="AW81" i="12" s="1"/>
  <c r="J49" i="6"/>
  <c r="AV81" i="12" s="1"/>
  <c r="I49" i="6"/>
  <c r="AU81" i="12" s="1"/>
  <c r="H49" i="6"/>
  <c r="AT81" i="12" s="1"/>
  <c r="G49" i="6"/>
  <c r="AS81" i="12" s="1"/>
  <c r="F49" i="6"/>
  <c r="AR81" i="12" s="1"/>
  <c r="E49" i="6"/>
  <c r="AQ81" i="12" s="1"/>
  <c r="D49" i="6"/>
  <c r="AP81" i="12" s="1"/>
  <c r="C49" i="6"/>
  <c r="AO81" i="12" s="1"/>
  <c r="B49" i="6"/>
  <c r="AN81" i="12" s="1"/>
  <c r="M48" i="6"/>
  <c r="AY80" i="12" s="1"/>
  <c r="L48" i="6"/>
  <c r="AX80" i="12" s="1"/>
  <c r="K48" i="6"/>
  <c r="AW80" i="12" s="1"/>
  <c r="J48" i="6"/>
  <c r="AV80" i="12" s="1"/>
  <c r="I48" i="6"/>
  <c r="AU80" i="12" s="1"/>
  <c r="H48" i="6"/>
  <c r="AT80" i="12" s="1"/>
  <c r="G48" i="6"/>
  <c r="AS80" i="12" s="1"/>
  <c r="F48" i="6"/>
  <c r="AR80" i="12" s="1"/>
  <c r="E48" i="6"/>
  <c r="AQ80" i="12" s="1"/>
  <c r="D48" i="6"/>
  <c r="AP80" i="12" s="1"/>
  <c r="C48" i="6"/>
  <c r="AO80" i="12" s="1"/>
  <c r="B48" i="6"/>
  <c r="M46" i="6"/>
  <c r="AY76" i="12" s="1"/>
  <c r="L46" i="6"/>
  <c r="AX76" i="12" s="1"/>
  <c r="K46" i="6"/>
  <c r="AW76" i="12" s="1"/>
  <c r="J46" i="6"/>
  <c r="AV76" i="12" s="1"/>
  <c r="I46" i="6"/>
  <c r="AU76" i="12" s="1"/>
  <c r="H46" i="6"/>
  <c r="AT76" i="12" s="1"/>
  <c r="G46" i="6"/>
  <c r="AS76" i="12" s="1"/>
  <c r="F46" i="6"/>
  <c r="AR76" i="12" s="1"/>
  <c r="E46" i="6"/>
  <c r="AQ76" i="12" s="1"/>
  <c r="D46" i="6"/>
  <c r="AP76" i="12" s="1"/>
  <c r="C46" i="6"/>
  <c r="L45" i="6"/>
  <c r="AX74" i="12" s="1"/>
  <c r="K45" i="6"/>
  <c r="M44" i="6"/>
  <c r="L44" i="6"/>
  <c r="K44" i="6"/>
  <c r="J44" i="6"/>
  <c r="AV73" i="12" s="1"/>
  <c r="H44" i="6"/>
  <c r="G44" i="6"/>
  <c r="AS73" i="12" s="1"/>
  <c r="F44" i="6"/>
  <c r="E44" i="6"/>
  <c r="D44" i="6"/>
  <c r="C44" i="6"/>
  <c r="AO73" i="12" s="1"/>
  <c r="B44" i="6"/>
  <c r="I43" i="6"/>
  <c r="N43" i="6" s="1"/>
  <c r="L42" i="6"/>
  <c r="AX71" i="12" s="1"/>
  <c r="M41" i="6"/>
  <c r="AY70" i="12" s="1"/>
  <c r="J41" i="6"/>
  <c r="AV70" i="12" s="1"/>
  <c r="I41" i="6"/>
  <c r="AU70" i="12" s="1"/>
  <c r="H41" i="6"/>
  <c r="AT70" i="12" s="1"/>
  <c r="G41" i="6"/>
  <c r="AS70" i="12" s="1"/>
  <c r="F41" i="6"/>
  <c r="AR70" i="12" s="1"/>
  <c r="E41" i="6"/>
  <c r="AQ70" i="12" s="1"/>
  <c r="D41" i="6"/>
  <c r="AP70" i="12" s="1"/>
  <c r="C41" i="6"/>
  <c r="M40" i="6"/>
  <c r="AY69" i="12" s="1"/>
  <c r="K40" i="6"/>
  <c r="AW69" i="12" s="1"/>
  <c r="J40" i="6"/>
  <c r="I40" i="6"/>
  <c r="AU69" i="12" s="1"/>
  <c r="H40" i="6"/>
  <c r="AT69" i="12" s="1"/>
  <c r="G40" i="6"/>
  <c r="F40" i="6"/>
  <c r="E40" i="6"/>
  <c r="AQ69" i="12" s="1"/>
  <c r="D40" i="6"/>
  <c r="AP69" i="12" s="1"/>
  <c r="C40" i="6"/>
  <c r="B40" i="6"/>
  <c r="AN69" i="12" s="1"/>
  <c r="K39" i="6"/>
  <c r="AW68" i="12" s="1"/>
  <c r="M37" i="6"/>
  <c r="AY66" i="12" s="1"/>
  <c r="L37" i="6"/>
  <c r="AX66" i="12" s="1"/>
  <c r="M36" i="6"/>
  <c r="AY65" i="12" s="1"/>
  <c r="L36" i="6"/>
  <c r="AX65" i="12" s="1"/>
  <c r="K36" i="6"/>
  <c r="AW65" i="12" s="1"/>
  <c r="J36" i="6"/>
  <c r="I36" i="6"/>
  <c r="H36" i="6"/>
  <c r="AT65" i="12" s="1"/>
  <c r="G36" i="6"/>
  <c r="AS65" i="12" s="1"/>
  <c r="F36" i="6"/>
  <c r="AR65" i="12" s="1"/>
  <c r="E36" i="6"/>
  <c r="D36" i="6"/>
  <c r="AP65" i="12" s="1"/>
  <c r="M35" i="6"/>
  <c r="L35" i="6"/>
  <c r="K35" i="6"/>
  <c r="J35" i="6"/>
  <c r="AV64" i="12" s="1"/>
  <c r="I35" i="6"/>
  <c r="AU64" i="12" s="1"/>
  <c r="H35" i="6"/>
  <c r="G35" i="6"/>
  <c r="F35" i="6"/>
  <c r="AR64" i="12" s="1"/>
  <c r="E35" i="6"/>
  <c r="D35" i="6"/>
  <c r="C35" i="6"/>
  <c r="B35" i="6"/>
  <c r="M34" i="6"/>
  <c r="AY63" i="12" s="1"/>
  <c r="F34" i="6"/>
  <c r="AR63" i="12" s="1"/>
  <c r="E34" i="6"/>
  <c r="AQ63" i="12" s="1"/>
  <c r="D34" i="6"/>
  <c r="AP63" i="12" s="1"/>
  <c r="C34" i="6"/>
  <c r="B34" i="6"/>
  <c r="AN63" i="12" s="1"/>
  <c r="I33" i="6"/>
  <c r="AU62" i="12" s="1"/>
  <c r="F33" i="6"/>
  <c r="AR62" i="12" s="1"/>
  <c r="M32" i="6"/>
  <c r="AY60" i="12" s="1"/>
  <c r="L32" i="6"/>
  <c r="AX60" i="12" s="1"/>
  <c r="K32" i="6"/>
  <c r="M30" i="6"/>
  <c r="AY58" i="12" s="1"/>
  <c r="L30" i="6"/>
  <c r="K30" i="6"/>
  <c r="AW58" i="12" s="1"/>
  <c r="J30" i="6"/>
  <c r="AV58" i="12" s="1"/>
  <c r="I30" i="6"/>
  <c r="AU58" i="12" s="1"/>
  <c r="M29" i="6"/>
  <c r="AY57" i="12" s="1"/>
  <c r="L29" i="6"/>
  <c r="AX57" i="12" s="1"/>
  <c r="K29" i="6"/>
  <c r="J29" i="6"/>
  <c r="I29" i="6"/>
  <c r="AU57" i="12" s="1"/>
  <c r="H29" i="6"/>
  <c r="AT57" i="12" s="1"/>
  <c r="G29" i="6"/>
  <c r="AS57" i="12" s="1"/>
  <c r="F29" i="6"/>
  <c r="E29" i="6"/>
  <c r="D29" i="6"/>
  <c r="AP57" i="12" s="1"/>
  <c r="C29" i="6"/>
  <c r="B29" i="6"/>
  <c r="N28" i="6"/>
  <c r="L27" i="6"/>
  <c r="AX53" i="12" s="1"/>
  <c r="C27" i="6"/>
  <c r="AO53" i="12" s="1"/>
  <c r="I23" i="6"/>
  <c r="AU45" i="12" s="1"/>
  <c r="G23" i="6"/>
  <c r="AS45" i="12" s="1"/>
  <c r="E23" i="6"/>
  <c r="AQ45" i="12" s="1"/>
  <c r="C23" i="6"/>
  <c r="M22" i="6"/>
  <c r="AY44" i="12" s="1"/>
  <c r="L22" i="6"/>
  <c r="AX44" i="12" s="1"/>
  <c r="K22" i="6"/>
  <c r="AW44" i="12" s="1"/>
  <c r="J22" i="6"/>
  <c r="AV44" i="12" s="1"/>
  <c r="I22" i="6"/>
  <c r="AU44" i="12" s="1"/>
  <c r="H22" i="6"/>
  <c r="AT44" i="12" s="1"/>
  <c r="F22" i="6"/>
  <c r="AR44" i="12" s="1"/>
  <c r="E22" i="6"/>
  <c r="AQ44" i="12" s="1"/>
  <c r="D22" i="6"/>
  <c r="AP44" i="12" s="1"/>
  <c r="C22" i="6"/>
  <c r="B22" i="6"/>
  <c r="AN44" i="12" s="1"/>
  <c r="M21" i="6"/>
  <c r="AY43" i="12" s="1"/>
  <c r="L21" i="6"/>
  <c r="AX43" i="12" s="1"/>
  <c r="K21" i="6"/>
  <c r="AW43" i="12" s="1"/>
  <c r="J21" i="6"/>
  <c r="AV43" i="12" s="1"/>
  <c r="I21" i="6"/>
  <c r="AU43" i="12" s="1"/>
  <c r="H21" i="6"/>
  <c r="AT43" i="12" s="1"/>
  <c r="G21" i="6"/>
  <c r="AS43" i="12" s="1"/>
  <c r="F21" i="6"/>
  <c r="AR43" i="12" s="1"/>
  <c r="E21" i="6"/>
  <c r="AQ43" i="12" s="1"/>
  <c r="D21" i="6"/>
  <c r="AP43" i="12" s="1"/>
  <c r="C21" i="6"/>
  <c r="AO43" i="12" s="1"/>
  <c r="B21" i="6"/>
  <c r="M20" i="6"/>
  <c r="AY42" i="12" s="1"/>
  <c r="L20" i="6"/>
  <c r="AX42" i="12" s="1"/>
  <c r="K20" i="6"/>
  <c r="AW42" i="12" s="1"/>
  <c r="J20" i="6"/>
  <c r="AV42" i="12" s="1"/>
  <c r="I20" i="6"/>
  <c r="AU42" i="12" s="1"/>
  <c r="H20" i="6"/>
  <c r="AT42" i="12" s="1"/>
  <c r="G20" i="6"/>
  <c r="AS42" i="12" s="1"/>
  <c r="F20" i="6"/>
  <c r="AR42" i="12" s="1"/>
  <c r="E20" i="6"/>
  <c r="AQ42" i="12" s="1"/>
  <c r="D20" i="6"/>
  <c r="AP42" i="12" s="1"/>
  <c r="C20" i="6"/>
  <c r="AO42" i="12" s="1"/>
  <c r="B20" i="6"/>
  <c r="M18" i="6"/>
  <c r="AY40" i="12" s="1"/>
  <c r="I18" i="6"/>
  <c r="AU40" i="12" s="1"/>
  <c r="G18" i="6"/>
  <c r="AS40" i="12" s="1"/>
  <c r="F18" i="6"/>
  <c r="AR40" i="12" s="1"/>
  <c r="E18" i="6"/>
  <c r="AQ40" i="12" s="1"/>
  <c r="D18" i="6"/>
  <c r="AP40" i="12" s="1"/>
  <c r="B18" i="6"/>
  <c r="M17" i="6"/>
  <c r="AY39" i="12" s="1"/>
  <c r="L17" i="6"/>
  <c r="AX39" i="12" s="1"/>
  <c r="K17" i="6"/>
  <c r="AW39" i="12" s="1"/>
  <c r="J17" i="6"/>
  <c r="AV39" i="12" s="1"/>
  <c r="I17" i="6"/>
  <c r="AU39" i="12" s="1"/>
  <c r="H17" i="6"/>
  <c r="AT39" i="12" s="1"/>
  <c r="G17" i="6"/>
  <c r="AS39" i="12" s="1"/>
  <c r="F17" i="6"/>
  <c r="AR39" i="12" s="1"/>
  <c r="E17" i="6"/>
  <c r="AQ39" i="12" s="1"/>
  <c r="D17" i="6"/>
  <c r="AP39" i="12" s="1"/>
  <c r="C17" i="6"/>
  <c r="AO39" i="12" s="1"/>
  <c r="B17" i="6"/>
  <c r="M16" i="6"/>
  <c r="AY38" i="12" s="1"/>
  <c r="L16" i="6"/>
  <c r="M15" i="6"/>
  <c r="AY37" i="12" s="1"/>
  <c r="L15" i="6"/>
  <c r="AX37" i="12" s="1"/>
  <c r="K15" i="6"/>
  <c r="J15" i="6"/>
  <c r="AV37" i="12" s="1"/>
  <c r="I15" i="6"/>
  <c r="AU37" i="12" s="1"/>
  <c r="H15" i="6"/>
  <c r="AT37" i="12" s="1"/>
  <c r="G15" i="6"/>
  <c r="F15" i="6"/>
  <c r="AR37" i="12" s="1"/>
  <c r="E15" i="6"/>
  <c r="AQ37" i="12" s="1"/>
  <c r="D15" i="6"/>
  <c r="AP37" i="12" s="1"/>
  <c r="C15" i="6"/>
  <c r="B15" i="6"/>
  <c r="M14" i="6"/>
  <c r="L14" i="6"/>
  <c r="K14" i="6"/>
  <c r="AW36" i="12" s="1"/>
  <c r="J14" i="6"/>
  <c r="AV36" i="12" s="1"/>
  <c r="I14" i="6"/>
  <c r="H14" i="6"/>
  <c r="G14" i="6"/>
  <c r="AS36" i="12" s="1"/>
  <c r="F14" i="6"/>
  <c r="AR36" i="12" s="1"/>
  <c r="E14" i="6"/>
  <c r="D14" i="6"/>
  <c r="C14" i="6"/>
  <c r="AO36" i="12" s="1"/>
  <c r="B14" i="6"/>
  <c r="N13" i="6"/>
  <c r="M12" i="6"/>
  <c r="AY34" i="12" s="1"/>
  <c r="L12" i="6"/>
  <c r="AX34" i="12" s="1"/>
  <c r="K12" i="6"/>
  <c r="AW34" i="12" s="1"/>
  <c r="J12" i="6"/>
  <c r="AV34" i="12" s="1"/>
  <c r="I12" i="6"/>
  <c r="AU34" i="12" s="1"/>
  <c r="H12" i="6"/>
  <c r="AT34" i="12" s="1"/>
  <c r="G12" i="6"/>
  <c r="AS34" i="12" s="1"/>
  <c r="F12" i="6"/>
  <c r="AR34" i="12" s="1"/>
  <c r="E12" i="6"/>
  <c r="AQ34" i="12" s="1"/>
  <c r="D12" i="6"/>
  <c r="AP34" i="12" s="1"/>
  <c r="C12" i="6"/>
  <c r="AO34" i="12" s="1"/>
  <c r="B12" i="6"/>
  <c r="M11" i="6"/>
  <c r="AY33" i="12" s="1"/>
  <c r="L11" i="6"/>
  <c r="K11" i="6"/>
  <c r="AW33" i="12" s="1"/>
  <c r="J11" i="6"/>
  <c r="AV33" i="12" s="1"/>
  <c r="I11" i="6"/>
  <c r="AU33" i="12" s="1"/>
  <c r="H11" i="6"/>
  <c r="G11" i="6"/>
  <c r="AS33" i="12" s="1"/>
  <c r="F11" i="6"/>
  <c r="AR33" i="12" s="1"/>
  <c r="E11" i="6"/>
  <c r="AQ33" i="12" s="1"/>
  <c r="D11" i="6"/>
  <c r="C11" i="6"/>
  <c r="B11" i="6"/>
  <c r="AN33" i="12" s="1"/>
  <c r="M8" i="6"/>
  <c r="L8" i="6"/>
  <c r="AX30" i="12" s="1"/>
  <c r="AV8" i="26" s="1"/>
  <c r="K8" i="6"/>
  <c r="AW30" i="12" s="1"/>
  <c r="AU8" i="26" s="1"/>
  <c r="J8" i="6"/>
  <c r="AV30" i="12" s="1"/>
  <c r="AT8" i="26" s="1"/>
  <c r="I8" i="6"/>
  <c r="H8" i="6"/>
  <c r="AT30" i="12" s="1"/>
  <c r="AR8" i="26" s="1"/>
  <c r="G8" i="6"/>
  <c r="AS30" i="12" s="1"/>
  <c r="AQ8" i="26" s="1"/>
  <c r="F8" i="6"/>
  <c r="AR30" i="12" s="1"/>
  <c r="AP8" i="26" s="1"/>
  <c r="E8" i="6"/>
  <c r="D8" i="6"/>
  <c r="AP30" i="12" s="1"/>
  <c r="AN8" i="26" s="1"/>
  <c r="C8" i="6"/>
  <c r="AO30" i="12" s="1"/>
  <c r="AM8" i="26" s="1"/>
  <c r="B8" i="6"/>
  <c r="M7" i="6"/>
  <c r="AY29" i="12" s="1"/>
  <c r="AW7" i="26" s="1"/>
  <c r="L7" i="6"/>
  <c r="AX29" i="12" s="1"/>
  <c r="AV7" i="26" s="1"/>
  <c r="AV9" i="26" s="1"/>
  <c r="K7" i="6"/>
  <c r="J7" i="6"/>
  <c r="I7" i="6"/>
  <c r="AU29" i="12" s="1"/>
  <c r="AS7" i="26" s="1"/>
  <c r="H7" i="6"/>
  <c r="AT29" i="12" s="1"/>
  <c r="AR7" i="26" s="1"/>
  <c r="AR9" i="26" s="1"/>
  <c r="G7" i="6"/>
  <c r="F7" i="6"/>
  <c r="E7" i="6"/>
  <c r="AQ29" i="12" s="1"/>
  <c r="AO7" i="26" s="1"/>
  <c r="D7" i="6"/>
  <c r="AP29" i="12" s="1"/>
  <c r="AN7" i="26" s="1"/>
  <c r="AN9" i="26" s="1"/>
  <c r="C7" i="6"/>
  <c r="B7" i="6"/>
  <c r="F6" i="32" l="1"/>
  <c r="E65" i="19"/>
  <c r="F63" i="19"/>
  <c r="C80" i="16"/>
  <c r="D79" i="16"/>
  <c r="E79" i="16" s="1"/>
  <c r="F79" i="16" s="1"/>
  <c r="G79" i="16" s="1"/>
  <c r="H79" i="16" s="1"/>
  <c r="I79" i="16" s="1"/>
  <c r="J79" i="16" s="1"/>
  <c r="K79" i="16" s="1"/>
  <c r="L79" i="16" s="1"/>
  <c r="M79" i="16" s="1"/>
  <c r="E26" i="19"/>
  <c r="D27" i="19"/>
  <c r="C92" i="16"/>
  <c r="C88" i="16"/>
  <c r="D88" i="16" s="1"/>
  <c r="E88" i="16" s="1"/>
  <c r="F88" i="16" s="1"/>
  <c r="G88" i="16" s="1"/>
  <c r="H88" i="16" s="1"/>
  <c r="I88" i="16" s="1"/>
  <c r="J88" i="16" s="1"/>
  <c r="K88" i="16" s="1"/>
  <c r="L88" i="16" s="1"/>
  <c r="M88" i="16" s="1"/>
  <c r="B80" i="16"/>
  <c r="C72" i="16"/>
  <c r="C74" i="16" s="1"/>
  <c r="B20" i="16"/>
  <c r="H13" i="19"/>
  <c r="J177" i="12" s="1"/>
  <c r="H33" i="26" s="1"/>
  <c r="B17" i="20"/>
  <c r="F17" i="20"/>
  <c r="BD177" i="12" s="1"/>
  <c r="N11" i="21"/>
  <c r="N12" i="21"/>
  <c r="N13" i="21"/>
  <c r="N17" i="21"/>
  <c r="N15" i="22"/>
  <c r="N16" i="22"/>
  <c r="N18" i="22"/>
  <c r="N19" i="22"/>
  <c r="N20" i="22"/>
  <c r="N25" i="22"/>
  <c r="F37" i="22"/>
  <c r="H27" i="8"/>
  <c r="V67" i="12" s="1"/>
  <c r="G31" i="6"/>
  <c r="I9" i="8"/>
  <c r="W31" i="12" s="1"/>
  <c r="N67" i="8"/>
  <c r="N85" i="8"/>
  <c r="F8" i="9"/>
  <c r="K46" i="9"/>
  <c r="M116" i="12" s="1"/>
  <c r="D64" i="9"/>
  <c r="K18" i="10"/>
  <c r="N26" i="10"/>
  <c r="F56" i="10"/>
  <c r="BD87" i="12" s="1"/>
  <c r="F85" i="10"/>
  <c r="BD129" i="12" s="1"/>
  <c r="B92" i="10"/>
  <c r="AZ133" i="12" s="1"/>
  <c r="F92" i="10"/>
  <c r="BD133" i="12" s="1"/>
  <c r="J104" i="10"/>
  <c r="M159" i="12"/>
  <c r="C84" i="17"/>
  <c r="N30" i="22"/>
  <c r="F29" i="23"/>
  <c r="H174" i="12" s="1"/>
  <c r="F32" i="26" s="1"/>
  <c r="N14" i="24"/>
  <c r="N23" i="24"/>
  <c r="N21" i="25"/>
  <c r="AG180" i="12"/>
  <c r="AE36" i="26" s="1"/>
  <c r="M41" i="10"/>
  <c r="BK71" i="12" s="1"/>
  <c r="M90" i="6"/>
  <c r="AY133" i="12" s="1"/>
  <c r="N89" i="6"/>
  <c r="N41" i="7"/>
  <c r="E18" i="7"/>
  <c r="E42" i="7"/>
  <c r="AE79" i="12" s="1"/>
  <c r="K74" i="7"/>
  <c r="AK129" i="12" s="1"/>
  <c r="M9" i="8"/>
  <c r="AA31" i="12" s="1"/>
  <c r="D31" i="8"/>
  <c r="R79" i="12" s="1"/>
  <c r="K38" i="8"/>
  <c r="Y87" i="12" s="1"/>
  <c r="F62" i="8"/>
  <c r="T133" i="12" s="1"/>
  <c r="B14" i="9"/>
  <c r="D46" i="12" s="1"/>
  <c r="B11" i="26" s="1"/>
  <c r="F14" i="9"/>
  <c r="H46" i="12" s="1"/>
  <c r="F11" i="26" s="1"/>
  <c r="J14" i="9"/>
  <c r="L46" i="12" s="1"/>
  <c r="J11" i="26" s="1"/>
  <c r="N22" i="9"/>
  <c r="N43" i="9"/>
  <c r="I58" i="9"/>
  <c r="K143" i="12" s="1"/>
  <c r="E41" i="10"/>
  <c r="BC71" i="12" s="1"/>
  <c r="N42" i="10"/>
  <c r="G56" i="10"/>
  <c r="BE87" i="12" s="1"/>
  <c r="E82" i="10"/>
  <c r="BC126" i="12" s="1"/>
  <c r="G92" i="10"/>
  <c r="BE133" i="12" s="1"/>
  <c r="N103" i="10"/>
  <c r="M166" i="12"/>
  <c r="I159" i="12"/>
  <c r="B20" i="20"/>
  <c r="F99" i="6"/>
  <c r="AR157" i="12" s="1"/>
  <c r="AP24" i="26" s="1"/>
  <c r="D9" i="6"/>
  <c r="E9" i="7"/>
  <c r="AE31" i="12" s="1"/>
  <c r="I81" i="7"/>
  <c r="AI133" i="12" s="1"/>
  <c r="C27" i="8"/>
  <c r="Q67" i="12" s="1"/>
  <c r="I55" i="8"/>
  <c r="W126" i="12" s="1"/>
  <c r="G62" i="8"/>
  <c r="U133" i="12" s="1"/>
  <c r="N45" i="9"/>
  <c r="G52" i="9"/>
  <c r="I135" i="12" s="1"/>
  <c r="G18" i="26" s="1"/>
  <c r="N70" i="9"/>
  <c r="G38" i="10"/>
  <c r="BE67" i="12" s="1"/>
  <c r="L41" i="10"/>
  <c r="BJ71" i="12" s="1"/>
  <c r="N73" i="10"/>
  <c r="M82" i="10"/>
  <c r="BK126" i="12" s="1"/>
  <c r="B104" i="10"/>
  <c r="C108" i="10"/>
  <c r="I166" i="12"/>
  <c r="E161" i="12"/>
  <c r="I132" i="12"/>
  <c r="E34" i="18"/>
  <c r="C64" i="18"/>
  <c r="E40" i="19"/>
  <c r="D41" i="20"/>
  <c r="F56" i="20"/>
  <c r="B91" i="20"/>
  <c r="H37" i="22"/>
  <c r="C28" i="23"/>
  <c r="D27" i="24"/>
  <c r="D28" i="24" s="1"/>
  <c r="D36" i="24" s="1"/>
  <c r="BB174" i="12" s="1"/>
  <c r="AZ32" i="26" s="1"/>
  <c r="H27" i="24"/>
  <c r="H28" i="24" s="1"/>
  <c r="H36" i="24" s="1"/>
  <c r="BF174" i="12" s="1"/>
  <c r="BD32" i="26" s="1"/>
  <c r="N18" i="24"/>
  <c r="N31" i="24"/>
  <c r="N35" i="24"/>
  <c r="N7" i="25"/>
  <c r="N10" i="25"/>
  <c r="AP131" i="12"/>
  <c r="E9" i="6"/>
  <c r="AQ31" i="12" s="1"/>
  <c r="AQ30" i="12"/>
  <c r="AO8" i="26" s="1"/>
  <c r="AO9" i="26" s="1"/>
  <c r="I9" i="6"/>
  <c r="AU30" i="12"/>
  <c r="AS8" i="26" s="1"/>
  <c r="M9" i="6"/>
  <c r="AY31" i="12" s="1"/>
  <c r="AY30" i="12"/>
  <c r="AW8" i="26" s="1"/>
  <c r="AW9" i="26" s="1"/>
  <c r="N12" i="6"/>
  <c r="AN34" i="12"/>
  <c r="N20" i="6"/>
  <c r="AN42" i="12"/>
  <c r="M38" i="6"/>
  <c r="AY67" i="12" s="1"/>
  <c r="AY64" i="12"/>
  <c r="N50" i="6"/>
  <c r="AN82" i="12"/>
  <c r="N63" i="6"/>
  <c r="AN101" i="12"/>
  <c r="C80" i="6"/>
  <c r="AO126" i="12" s="1"/>
  <c r="AO124" i="12"/>
  <c r="G80" i="6"/>
  <c r="AS126" i="12" s="1"/>
  <c r="AS124" i="12"/>
  <c r="K80" i="6"/>
  <c r="AW126" i="12" s="1"/>
  <c r="AW124" i="12"/>
  <c r="D90" i="6"/>
  <c r="AP133" i="12" s="1"/>
  <c r="AP78" i="12"/>
  <c r="K99" i="6"/>
  <c r="AW157" i="12" s="1"/>
  <c r="AU24" i="26" s="1"/>
  <c r="AW155" i="12"/>
  <c r="N17" i="7"/>
  <c r="AB40" i="12"/>
  <c r="D37" i="7"/>
  <c r="AD71" i="12" s="1"/>
  <c r="AD69" i="12"/>
  <c r="K37" i="7"/>
  <c r="AK71" i="12" s="1"/>
  <c r="AK69" i="12"/>
  <c r="B49" i="7"/>
  <c r="AB87" i="12" s="1"/>
  <c r="AB85" i="12"/>
  <c r="AC121" i="12"/>
  <c r="AG121" i="12"/>
  <c r="F71" i="7"/>
  <c r="AF123" i="12"/>
  <c r="N90" i="7"/>
  <c r="AB163" i="12"/>
  <c r="G9" i="8"/>
  <c r="U31" i="12" s="1"/>
  <c r="U29" i="12"/>
  <c r="S7" i="26" s="1"/>
  <c r="S9" i="26" s="1"/>
  <c r="D38" i="10"/>
  <c r="BB67" i="12" s="1"/>
  <c r="BB64" i="12"/>
  <c r="H38" i="10"/>
  <c r="BF67" i="12" s="1"/>
  <c r="BF64" i="12"/>
  <c r="N36" i="10"/>
  <c r="BB65" i="12"/>
  <c r="J38" i="10"/>
  <c r="BH67" i="12" s="1"/>
  <c r="BH65" i="12"/>
  <c r="BG75" i="12"/>
  <c r="N44" i="10"/>
  <c r="N14" i="6"/>
  <c r="AN36" i="12"/>
  <c r="L31" i="6"/>
  <c r="AX58" i="12"/>
  <c r="N37" i="6"/>
  <c r="N39" i="6"/>
  <c r="E47" i="6"/>
  <c r="AQ79" i="12" s="1"/>
  <c r="AQ73" i="12"/>
  <c r="N57" i="6"/>
  <c r="AN89" i="12"/>
  <c r="N59" i="6"/>
  <c r="AV94" i="12"/>
  <c r="N64" i="6"/>
  <c r="AN103" i="12"/>
  <c r="N65" i="6"/>
  <c r="AN104" i="12"/>
  <c r="N75" i="6"/>
  <c r="AN121" i="12"/>
  <c r="H80" i="6"/>
  <c r="AT124" i="12"/>
  <c r="L80" i="6"/>
  <c r="AX126" i="12" s="1"/>
  <c r="AX124" i="12"/>
  <c r="N79" i="6"/>
  <c r="AV125" i="12"/>
  <c r="E80" i="6"/>
  <c r="B83" i="6"/>
  <c r="AN129" i="12" s="1"/>
  <c r="AX131" i="12"/>
  <c r="N88" i="6"/>
  <c r="J90" i="6"/>
  <c r="AV133" i="12" s="1"/>
  <c r="I90" i="6"/>
  <c r="AU133" i="12" s="1"/>
  <c r="D99" i="6"/>
  <c r="AP155" i="12"/>
  <c r="H99" i="6"/>
  <c r="AT155" i="12"/>
  <c r="L99" i="6"/>
  <c r="AX155" i="12"/>
  <c r="G99" i="6"/>
  <c r="AS157" i="12" s="1"/>
  <c r="AQ24" i="26" s="1"/>
  <c r="G103" i="6"/>
  <c r="C9" i="7"/>
  <c r="AC31" i="12" s="1"/>
  <c r="AC29" i="12"/>
  <c r="AA7" i="26" s="1"/>
  <c r="AA9" i="26" s="1"/>
  <c r="G9" i="7"/>
  <c r="AG31" i="12" s="1"/>
  <c r="AG29" i="12"/>
  <c r="AE7" i="26" s="1"/>
  <c r="AE9" i="26" s="1"/>
  <c r="K9" i="7"/>
  <c r="AK31" i="12" s="1"/>
  <c r="AK29" i="12"/>
  <c r="AI7" i="26" s="1"/>
  <c r="AI9" i="26" s="1"/>
  <c r="AD33" i="12"/>
  <c r="AH33" i="12"/>
  <c r="AL33" i="12"/>
  <c r="C18" i="7"/>
  <c r="AC41" i="12" s="1"/>
  <c r="AC36" i="12"/>
  <c r="G18" i="7"/>
  <c r="AG41" i="12" s="1"/>
  <c r="AG36" i="12"/>
  <c r="K18" i="7"/>
  <c r="AK41" i="12" s="1"/>
  <c r="AK36" i="12"/>
  <c r="N19" i="7"/>
  <c r="AB42" i="12"/>
  <c r="N21" i="7"/>
  <c r="AB44" i="12"/>
  <c r="AF57" i="12"/>
  <c r="N28" i="7"/>
  <c r="AJ61" i="12"/>
  <c r="N31" i="7"/>
  <c r="AC64" i="12"/>
  <c r="G33" i="7"/>
  <c r="AG67" i="12" s="1"/>
  <c r="AG64" i="12"/>
  <c r="L33" i="7"/>
  <c r="AL67" i="12" s="1"/>
  <c r="AL64" i="12"/>
  <c r="L37" i="7"/>
  <c r="AL71" i="12" s="1"/>
  <c r="AL69" i="12"/>
  <c r="H42" i="7"/>
  <c r="AH79" i="12" s="1"/>
  <c r="AH73" i="12"/>
  <c r="L42" i="7"/>
  <c r="AL79" i="12" s="1"/>
  <c r="AL73" i="12"/>
  <c r="N40" i="7"/>
  <c r="AI76" i="12"/>
  <c r="N44" i="7"/>
  <c r="AB81" i="12"/>
  <c r="N45" i="7"/>
  <c r="AB82" i="12"/>
  <c r="N46" i="7"/>
  <c r="AB84" i="12"/>
  <c r="D49" i="7"/>
  <c r="AD87" i="12" s="1"/>
  <c r="AD85" i="12"/>
  <c r="H49" i="7"/>
  <c r="AH87" i="12" s="1"/>
  <c r="AH85" i="12"/>
  <c r="L49" i="7"/>
  <c r="AL87" i="12" s="1"/>
  <c r="AL85" i="12"/>
  <c r="K49" i="7"/>
  <c r="AK87" i="12" s="1"/>
  <c r="N60" i="7"/>
  <c r="AF109" i="12"/>
  <c r="N62" i="7"/>
  <c r="AB111" i="12"/>
  <c r="E63" i="7"/>
  <c r="AE112" i="12" s="1"/>
  <c r="AC17" i="26" s="1"/>
  <c r="J74" i="7"/>
  <c r="AJ129" i="12" s="1"/>
  <c r="AJ128" i="12"/>
  <c r="D81" i="7"/>
  <c r="AD133" i="12" s="1"/>
  <c r="AD78" i="12"/>
  <c r="H81" i="7"/>
  <c r="AH133" i="12" s="1"/>
  <c r="AH78" i="12"/>
  <c r="L81" i="7"/>
  <c r="AL133" i="12" s="1"/>
  <c r="AL78" i="12"/>
  <c r="G92" i="7"/>
  <c r="AG165" i="12"/>
  <c r="E31" i="8"/>
  <c r="S79" i="12" s="1"/>
  <c r="S74" i="12"/>
  <c r="I31" i="8"/>
  <c r="W79" i="12" s="1"/>
  <c r="W74" i="12"/>
  <c r="N34" i="8"/>
  <c r="P82" i="12"/>
  <c r="N35" i="8"/>
  <c r="H38" i="8"/>
  <c r="V87" i="12" s="1"/>
  <c r="V85" i="12"/>
  <c r="M38" i="8"/>
  <c r="AA87" i="12" s="1"/>
  <c r="AA86" i="12"/>
  <c r="E73" i="8"/>
  <c r="S143" i="12" s="1"/>
  <c r="S137" i="12"/>
  <c r="I73" i="8"/>
  <c r="W143" i="12" s="1"/>
  <c r="W137" i="12"/>
  <c r="M73" i="8"/>
  <c r="AA143" i="12" s="1"/>
  <c r="AA137" i="12"/>
  <c r="C79" i="8"/>
  <c r="Q155" i="12"/>
  <c r="G79" i="8"/>
  <c r="U155" i="12"/>
  <c r="H79" i="8"/>
  <c r="V157" i="12" s="1"/>
  <c r="T24" i="26" s="1"/>
  <c r="C14" i="9"/>
  <c r="E46" i="12" s="1"/>
  <c r="C11" i="26" s="1"/>
  <c r="E33" i="12"/>
  <c r="G14" i="9"/>
  <c r="I46" i="12" s="1"/>
  <c r="G11" i="26" s="1"/>
  <c r="I33" i="12"/>
  <c r="K14" i="9"/>
  <c r="M46" i="12" s="1"/>
  <c r="K11" i="26" s="1"/>
  <c r="M33" i="12"/>
  <c r="L13" i="9"/>
  <c r="N41" i="12" s="1"/>
  <c r="N39" i="12"/>
  <c r="N12" i="9"/>
  <c r="L53" i="12"/>
  <c r="M51" i="9"/>
  <c r="O134" i="12" s="1"/>
  <c r="O122" i="12"/>
  <c r="E51" i="9"/>
  <c r="G134" i="12" s="1"/>
  <c r="G132" i="12"/>
  <c r="I51" i="9"/>
  <c r="K134" i="12" s="1"/>
  <c r="K132" i="12"/>
  <c r="F157" i="12"/>
  <c r="D24" i="26" s="1"/>
  <c r="H72" i="9"/>
  <c r="J170" i="12" s="1"/>
  <c r="H28" i="26" s="1"/>
  <c r="J157" i="12"/>
  <c r="H24" i="26" s="1"/>
  <c r="N66" i="9"/>
  <c r="F159" i="12"/>
  <c r="J69" i="9"/>
  <c r="L159" i="12"/>
  <c r="N67" i="9"/>
  <c r="L160" i="12"/>
  <c r="F69" i="9"/>
  <c r="H161" i="12"/>
  <c r="D69" i="9"/>
  <c r="BI31" i="12"/>
  <c r="BC33" i="12"/>
  <c r="BG33" i="12"/>
  <c r="D56" i="10"/>
  <c r="BB87" i="12" s="1"/>
  <c r="BB85" i="12"/>
  <c r="H56" i="10"/>
  <c r="BF87" i="12" s="1"/>
  <c r="BF85" i="12"/>
  <c r="L56" i="10"/>
  <c r="BJ87" i="12" s="1"/>
  <c r="BJ85" i="12"/>
  <c r="N57" i="10"/>
  <c r="AZ88" i="12"/>
  <c r="N60" i="10"/>
  <c r="AZ94" i="12"/>
  <c r="F72" i="10"/>
  <c r="BD112" i="12" s="1"/>
  <c r="BD22" i="12" s="1"/>
  <c r="BD96" i="12"/>
  <c r="I72" i="10"/>
  <c r="BG112" i="12" s="1"/>
  <c r="BG22" i="12" s="1"/>
  <c r="BG99" i="12"/>
  <c r="N65" i="10"/>
  <c r="BC102" i="12"/>
  <c r="N66" i="10"/>
  <c r="AZ103" i="12"/>
  <c r="N68" i="10"/>
  <c r="BE105" i="12"/>
  <c r="C82" i="10"/>
  <c r="BA126" i="12" s="1"/>
  <c r="BA124" i="12"/>
  <c r="G82" i="10"/>
  <c r="BE126" i="12" s="1"/>
  <c r="BE124" i="12"/>
  <c r="K82" i="10"/>
  <c r="BI126" i="12" s="1"/>
  <c r="BI124" i="12"/>
  <c r="D85" i="10"/>
  <c r="BB128" i="12"/>
  <c r="H85" i="10"/>
  <c r="BF129" i="12" s="1"/>
  <c r="BF128" i="12"/>
  <c r="L85" i="10"/>
  <c r="BJ129" i="12" s="1"/>
  <c r="BJ128" i="12"/>
  <c r="I113" i="12"/>
  <c r="AS59" i="12"/>
  <c r="E38" i="6"/>
  <c r="AQ67" i="12" s="1"/>
  <c r="AQ64" i="12"/>
  <c r="N62" i="6"/>
  <c r="AN100" i="12"/>
  <c r="N67" i="6"/>
  <c r="AS108" i="12"/>
  <c r="B103" i="6"/>
  <c r="AN166" i="12" s="1"/>
  <c r="AN165" i="12"/>
  <c r="F103" i="6"/>
  <c r="AR165" i="12"/>
  <c r="J103" i="6"/>
  <c r="AV166" i="12" s="1"/>
  <c r="AV165" i="12"/>
  <c r="F9" i="7"/>
  <c r="AF31" i="12" s="1"/>
  <c r="AF29" i="12"/>
  <c r="AD7" i="26" s="1"/>
  <c r="AD9" i="26" s="1"/>
  <c r="J9" i="7"/>
  <c r="AJ31" i="12" s="1"/>
  <c r="AJ29" i="12"/>
  <c r="AH7" i="26" s="1"/>
  <c r="AH9" i="26" s="1"/>
  <c r="N8" i="7"/>
  <c r="AB30" i="12"/>
  <c r="Z8" i="26" s="1"/>
  <c r="B18" i="7"/>
  <c r="AB41" i="12" s="1"/>
  <c r="AB36" i="12"/>
  <c r="F18" i="7"/>
  <c r="AF41" i="12" s="1"/>
  <c r="AF36" i="12"/>
  <c r="J18" i="7"/>
  <c r="AJ41" i="12" s="1"/>
  <c r="AJ36" i="12"/>
  <c r="N15" i="7"/>
  <c r="AB37" i="12"/>
  <c r="N22" i="7"/>
  <c r="AE45" i="12"/>
  <c r="N30" i="7"/>
  <c r="AD63" i="12"/>
  <c r="N58" i="7"/>
  <c r="AB104" i="12"/>
  <c r="B71" i="7"/>
  <c r="AB126" i="12" s="1"/>
  <c r="AB123" i="12"/>
  <c r="J71" i="7"/>
  <c r="AJ126" i="12" s="1"/>
  <c r="AJ123" i="12"/>
  <c r="C9" i="8"/>
  <c r="Q31" i="12" s="1"/>
  <c r="Q29" i="12"/>
  <c r="O7" i="26" s="1"/>
  <c r="O9" i="26" s="1"/>
  <c r="K9" i="8"/>
  <c r="Y31" i="12" s="1"/>
  <c r="Y29" i="12"/>
  <c r="W7" i="26" s="1"/>
  <c r="W9" i="26" s="1"/>
  <c r="E17" i="8"/>
  <c r="S46" i="12" s="1"/>
  <c r="Q11" i="26" s="1"/>
  <c r="S33" i="12"/>
  <c r="M14" i="8"/>
  <c r="AA41" i="12" s="1"/>
  <c r="AA39" i="12"/>
  <c r="D38" i="8"/>
  <c r="R87" i="12" s="1"/>
  <c r="R85" i="12"/>
  <c r="F86" i="8"/>
  <c r="T159" i="12"/>
  <c r="K15" i="9"/>
  <c r="M48" i="12" s="1"/>
  <c r="M31" i="12"/>
  <c r="C33" i="9"/>
  <c r="E87" i="12" s="1"/>
  <c r="E85" i="12"/>
  <c r="G33" i="9"/>
  <c r="I87" i="12" s="1"/>
  <c r="I85" i="12"/>
  <c r="K33" i="9"/>
  <c r="M87" i="12" s="1"/>
  <c r="M85" i="12"/>
  <c r="J18" i="10"/>
  <c r="BH41" i="12" s="1"/>
  <c r="BH36" i="12"/>
  <c r="D18" i="10"/>
  <c r="BB41" i="12" s="1"/>
  <c r="BB39" i="12"/>
  <c r="L18" i="10"/>
  <c r="BJ41" i="12" s="1"/>
  <c r="BJ39" i="12"/>
  <c r="F48" i="10"/>
  <c r="BD79" i="12" s="1"/>
  <c r="BD73" i="12"/>
  <c r="B9" i="6"/>
  <c r="AN31" i="12" s="1"/>
  <c r="AN29" i="12"/>
  <c r="AL7" i="26" s="1"/>
  <c r="F9" i="6"/>
  <c r="AR31" i="12" s="1"/>
  <c r="AR29" i="12"/>
  <c r="AP7" i="26" s="1"/>
  <c r="AP9" i="26" s="1"/>
  <c r="J9" i="6"/>
  <c r="AV31" i="12" s="1"/>
  <c r="AV29" i="12"/>
  <c r="AT7" i="26" s="1"/>
  <c r="AT9" i="26" s="1"/>
  <c r="N8" i="6"/>
  <c r="AN30" i="12"/>
  <c r="AL8" i="26" s="1"/>
  <c r="N15" i="6"/>
  <c r="AN37" i="12"/>
  <c r="H31" i="6"/>
  <c r="AT59" i="12" s="1"/>
  <c r="N35" i="6"/>
  <c r="AN64" i="12"/>
  <c r="I42" i="6"/>
  <c r="AU71" i="12" s="1"/>
  <c r="C71" i="6"/>
  <c r="AO112" i="12" s="1"/>
  <c r="AO22" i="12" s="1"/>
  <c r="AO99" i="12"/>
  <c r="G71" i="6"/>
  <c r="AS112" i="12" s="1"/>
  <c r="AS22" i="12" s="1"/>
  <c r="AS25" i="12" s="1"/>
  <c r="AS99" i="12"/>
  <c r="K71" i="6"/>
  <c r="AW112" i="12" s="1"/>
  <c r="AW22" i="12" s="1"/>
  <c r="AW99" i="12"/>
  <c r="J71" i="6"/>
  <c r="AV112" i="12" s="1"/>
  <c r="AV104" i="12"/>
  <c r="C9" i="6"/>
  <c r="AO31" i="12" s="1"/>
  <c r="AO29" i="12"/>
  <c r="AM7" i="26" s="1"/>
  <c r="AM9" i="26" s="1"/>
  <c r="G9" i="6"/>
  <c r="AS31" i="12" s="1"/>
  <c r="AS29" i="12"/>
  <c r="AQ7" i="26" s="1"/>
  <c r="AQ9" i="26" s="1"/>
  <c r="K9" i="6"/>
  <c r="AW31" i="12" s="1"/>
  <c r="AW29" i="12"/>
  <c r="AU7" i="26" s="1"/>
  <c r="AU9" i="26" s="1"/>
  <c r="H9" i="6"/>
  <c r="AP33" i="12"/>
  <c r="AT33" i="12"/>
  <c r="AX33" i="12"/>
  <c r="C19" i="6"/>
  <c r="AO41" i="12" s="1"/>
  <c r="AO37" i="12"/>
  <c r="G19" i="6"/>
  <c r="AS41" i="12" s="1"/>
  <c r="AS37" i="12"/>
  <c r="K19" i="6"/>
  <c r="AW41" i="12" s="1"/>
  <c r="AW37" i="12"/>
  <c r="F19" i="6"/>
  <c r="AR41" i="12" s="1"/>
  <c r="B31" i="6"/>
  <c r="AN59" i="12" s="1"/>
  <c r="AN57" i="12"/>
  <c r="F31" i="6"/>
  <c r="AR57" i="12"/>
  <c r="J31" i="6"/>
  <c r="AV57" i="12"/>
  <c r="N32" i="6"/>
  <c r="AW60" i="12"/>
  <c r="C38" i="6"/>
  <c r="AO67" i="12" s="1"/>
  <c r="AO64" i="12"/>
  <c r="G38" i="6"/>
  <c r="AS67" i="12" s="1"/>
  <c r="AS64" i="12"/>
  <c r="K38" i="6"/>
  <c r="AW67" i="12" s="1"/>
  <c r="AW64" i="12"/>
  <c r="N36" i="6"/>
  <c r="AQ65" i="12"/>
  <c r="I38" i="6"/>
  <c r="AU67" i="12" s="1"/>
  <c r="AU65" i="12"/>
  <c r="B38" i="6"/>
  <c r="AN67" i="12" s="1"/>
  <c r="F42" i="6"/>
  <c r="AR71" i="12" s="1"/>
  <c r="AR69" i="12"/>
  <c r="J42" i="6"/>
  <c r="AV71" i="12" s="1"/>
  <c r="AV69" i="12"/>
  <c r="D42" i="6"/>
  <c r="AP71" i="12" s="1"/>
  <c r="N44" i="6"/>
  <c r="AN73" i="12"/>
  <c r="F47" i="6"/>
  <c r="AR79" i="12" s="1"/>
  <c r="AR73" i="12"/>
  <c r="K47" i="6"/>
  <c r="AW79" i="12" s="1"/>
  <c r="AW73" i="12"/>
  <c r="G47" i="6"/>
  <c r="AS79" i="12" s="1"/>
  <c r="E55" i="6"/>
  <c r="AQ87" i="12" s="1"/>
  <c r="AQ85" i="12"/>
  <c r="J55" i="6"/>
  <c r="AV87" i="12" s="1"/>
  <c r="AV85" i="12"/>
  <c r="N54" i="6"/>
  <c r="AN86" i="12"/>
  <c r="D55" i="6"/>
  <c r="AP87" i="12" s="1"/>
  <c r="N68" i="6"/>
  <c r="AS109" i="12"/>
  <c r="I80" i="6"/>
  <c r="AU124" i="12"/>
  <c r="F80" i="6"/>
  <c r="AR126" i="12" s="1"/>
  <c r="C83" i="6"/>
  <c r="AO128" i="12"/>
  <c r="G83" i="6"/>
  <c r="AS129" i="12" s="1"/>
  <c r="AS128" i="12"/>
  <c r="K83" i="6"/>
  <c r="AW129" i="12" s="1"/>
  <c r="AW128" i="12"/>
  <c r="F83" i="6"/>
  <c r="AR129" i="12" s="1"/>
  <c r="N87" i="6"/>
  <c r="AN78" i="12"/>
  <c r="F90" i="6"/>
  <c r="AR133" i="12" s="1"/>
  <c r="AR78" i="12"/>
  <c r="K90" i="6"/>
  <c r="AW133" i="12" s="1"/>
  <c r="N94" i="6"/>
  <c r="E99" i="6"/>
  <c r="AQ155" i="12"/>
  <c r="I99" i="6"/>
  <c r="AU155" i="12"/>
  <c r="M99" i="6"/>
  <c r="AY155" i="12"/>
  <c r="J99" i="6"/>
  <c r="AV157" i="12" s="1"/>
  <c r="AT24" i="26" s="1"/>
  <c r="D103" i="6"/>
  <c r="AP165" i="12"/>
  <c r="H103" i="6"/>
  <c r="AT165" i="12"/>
  <c r="L103" i="6"/>
  <c r="AX165" i="12"/>
  <c r="K103" i="6"/>
  <c r="AW166" i="12" s="1"/>
  <c r="D9" i="7"/>
  <c r="AD29" i="12"/>
  <c r="AB7" i="26" s="1"/>
  <c r="AB9" i="26" s="1"/>
  <c r="H9" i="7"/>
  <c r="AH29" i="12"/>
  <c r="AF7" i="26" s="1"/>
  <c r="AF9" i="26" s="1"/>
  <c r="L9" i="7"/>
  <c r="AL29" i="12"/>
  <c r="AJ7" i="26" s="1"/>
  <c r="AJ9" i="26" s="1"/>
  <c r="M9" i="7"/>
  <c r="AM31" i="12" s="1"/>
  <c r="D18" i="7"/>
  <c r="AD41" i="12" s="1"/>
  <c r="AD36" i="12"/>
  <c r="H18" i="7"/>
  <c r="AH41" i="12" s="1"/>
  <c r="AH36" i="12"/>
  <c r="L18" i="7"/>
  <c r="AL41" i="12" s="1"/>
  <c r="AL36" i="12"/>
  <c r="AH63" i="12"/>
  <c r="D33" i="7"/>
  <c r="AD64" i="12"/>
  <c r="H33" i="7"/>
  <c r="AH67" i="12" s="1"/>
  <c r="AH64" i="12"/>
  <c r="M33" i="7"/>
  <c r="AM67" i="12" s="1"/>
  <c r="AM64" i="12"/>
  <c r="K33" i="7"/>
  <c r="AK67" i="12" s="1"/>
  <c r="G37" i="7"/>
  <c r="AG71" i="12" s="1"/>
  <c r="AG69" i="12"/>
  <c r="M37" i="7"/>
  <c r="AM71" i="12" s="1"/>
  <c r="AM69" i="12"/>
  <c r="D42" i="7"/>
  <c r="AD79" i="12" s="1"/>
  <c r="AD73" i="12"/>
  <c r="M42" i="7"/>
  <c r="AM79" i="12" s="1"/>
  <c r="AM73" i="12"/>
  <c r="E49" i="7"/>
  <c r="AE87" i="12" s="1"/>
  <c r="AE85" i="12"/>
  <c r="I49" i="7"/>
  <c r="AI87" i="12" s="1"/>
  <c r="AI85" i="12"/>
  <c r="M49" i="7"/>
  <c r="AM87" i="12" s="1"/>
  <c r="AM85" i="12"/>
  <c r="N50" i="7"/>
  <c r="AB88" i="12"/>
  <c r="N51" i="7"/>
  <c r="AB89" i="12"/>
  <c r="L52" i="7"/>
  <c r="AL91" i="12" s="1"/>
  <c r="AJ16" i="26" s="1"/>
  <c r="D63" i="7"/>
  <c r="AD112" i="12" s="1"/>
  <c r="AB17" i="26" s="1"/>
  <c r="AD99" i="12"/>
  <c r="H63" i="7"/>
  <c r="AH112" i="12" s="1"/>
  <c r="AF17" i="26" s="1"/>
  <c r="AH99" i="12"/>
  <c r="L63" i="7"/>
  <c r="AL112" i="12" s="1"/>
  <c r="AL22" i="12" s="1"/>
  <c r="AL99" i="12"/>
  <c r="I63" i="7"/>
  <c r="AI112" i="12" s="1"/>
  <c r="AI22" i="12" s="1"/>
  <c r="D71" i="7"/>
  <c r="AD123" i="12"/>
  <c r="H71" i="7"/>
  <c r="AH126" i="12" s="1"/>
  <c r="AH123" i="12"/>
  <c r="L71" i="7"/>
  <c r="AL123" i="12"/>
  <c r="AH131" i="12"/>
  <c r="N78" i="7"/>
  <c r="AB132" i="12"/>
  <c r="AE78" i="12"/>
  <c r="E81" i="7"/>
  <c r="AE133" i="12" s="1"/>
  <c r="L27" i="8"/>
  <c r="Z67" i="12" s="1"/>
  <c r="Z64" i="12"/>
  <c r="D27" i="8"/>
  <c r="R67" i="12" s="1"/>
  <c r="B31" i="8"/>
  <c r="P79" i="12" s="1"/>
  <c r="P74" i="12"/>
  <c r="F31" i="8"/>
  <c r="T79" i="12" s="1"/>
  <c r="T74" i="12"/>
  <c r="K31" i="8"/>
  <c r="Y79" i="12" s="1"/>
  <c r="N40" i="8"/>
  <c r="R89" i="12"/>
  <c r="D48" i="8"/>
  <c r="R112" i="12" s="1"/>
  <c r="P17" i="26" s="1"/>
  <c r="R106" i="12"/>
  <c r="Z121" i="12"/>
  <c r="Q123" i="12"/>
  <c r="C55" i="8"/>
  <c r="G55" i="8"/>
  <c r="U126" i="12" s="1"/>
  <c r="D62" i="8"/>
  <c r="R133" i="12" s="1"/>
  <c r="R78" i="12"/>
  <c r="H62" i="8"/>
  <c r="V133" i="12" s="1"/>
  <c r="V78" i="12"/>
  <c r="L62" i="8"/>
  <c r="Z133" i="12" s="1"/>
  <c r="Z78" i="12"/>
  <c r="N66" i="8"/>
  <c r="T137" i="12"/>
  <c r="F73" i="8"/>
  <c r="T143" i="12" s="1"/>
  <c r="J73" i="8"/>
  <c r="X143" i="12" s="1"/>
  <c r="X142" i="12"/>
  <c r="L33" i="9"/>
  <c r="N87" i="12" s="1"/>
  <c r="K22" i="10"/>
  <c r="BI46" i="12" s="1"/>
  <c r="BG11" i="26" s="1"/>
  <c r="BI41" i="12"/>
  <c r="C31" i="10"/>
  <c r="BA59" i="12" s="1"/>
  <c r="BA57" i="12"/>
  <c r="G31" i="10"/>
  <c r="BE57" i="12"/>
  <c r="K31" i="10"/>
  <c r="BI57" i="12"/>
  <c r="B41" i="10"/>
  <c r="AZ69" i="12"/>
  <c r="F41" i="10"/>
  <c r="BD71" i="12" s="1"/>
  <c r="BD69" i="12"/>
  <c r="J41" i="10"/>
  <c r="BH71" i="12" s="1"/>
  <c r="BH69" i="12"/>
  <c r="K48" i="10"/>
  <c r="BI79" i="12" s="1"/>
  <c r="BI84" i="12"/>
  <c r="N53" i="10"/>
  <c r="BA155" i="12"/>
  <c r="C104" i="10"/>
  <c r="BI155" i="12"/>
  <c r="K104" i="10"/>
  <c r="M29" i="12"/>
  <c r="K7" i="26" s="1"/>
  <c r="K9" i="26" s="1"/>
  <c r="M157" i="12"/>
  <c r="K24" i="26" s="1"/>
  <c r="M155" i="12"/>
  <c r="AS9" i="26"/>
  <c r="E19" i="6"/>
  <c r="AQ41" i="12" s="1"/>
  <c r="AQ36" i="12"/>
  <c r="I19" i="6"/>
  <c r="AU36" i="12"/>
  <c r="M19" i="6"/>
  <c r="AY41" i="12" s="1"/>
  <c r="AY36" i="12"/>
  <c r="N21" i="6"/>
  <c r="AN43" i="12"/>
  <c r="N34" i="6"/>
  <c r="AO63" i="12"/>
  <c r="H42" i="6"/>
  <c r="AT71" i="12" s="1"/>
  <c r="I47" i="6"/>
  <c r="AU79" i="12" s="1"/>
  <c r="AU72" i="12"/>
  <c r="D47" i="6"/>
  <c r="AP79" i="12" s="1"/>
  <c r="AP73" i="12"/>
  <c r="H47" i="6"/>
  <c r="AT79" i="12" s="1"/>
  <c r="AT73" i="12"/>
  <c r="M47" i="6"/>
  <c r="AY79" i="12" s="1"/>
  <c r="AY73" i="12"/>
  <c r="N48" i="6"/>
  <c r="AN80" i="12"/>
  <c r="N51" i="6"/>
  <c r="AW83" i="12"/>
  <c r="L55" i="6"/>
  <c r="AX87" i="12" s="1"/>
  <c r="N66" i="6"/>
  <c r="AQ105" i="12"/>
  <c r="E83" i="6"/>
  <c r="AQ129" i="12" s="1"/>
  <c r="AQ128" i="12"/>
  <c r="I83" i="6"/>
  <c r="AU129" i="12" s="1"/>
  <c r="AU128" i="12"/>
  <c r="M83" i="6"/>
  <c r="AY129" i="12" s="1"/>
  <c r="AY128" i="12"/>
  <c r="C99" i="6"/>
  <c r="AO157" i="12" s="1"/>
  <c r="AM24" i="26" s="1"/>
  <c r="AO155" i="12"/>
  <c r="E23" i="7"/>
  <c r="AE46" i="12" s="1"/>
  <c r="AC11" i="26" s="1"/>
  <c r="AE41" i="12"/>
  <c r="B33" i="7"/>
  <c r="AB67" i="12" s="1"/>
  <c r="AB64" i="12"/>
  <c r="F33" i="7"/>
  <c r="AF67" i="12" s="1"/>
  <c r="AF64" i="12"/>
  <c r="J33" i="7"/>
  <c r="AJ67" i="12" s="1"/>
  <c r="AJ64" i="12"/>
  <c r="N32" i="7"/>
  <c r="AF65" i="12"/>
  <c r="B42" i="7"/>
  <c r="AB79" i="12" s="1"/>
  <c r="AB73" i="12"/>
  <c r="G42" i="7"/>
  <c r="AG79" i="12" s="1"/>
  <c r="AG73" i="12"/>
  <c r="K42" i="7"/>
  <c r="AK79" i="12" s="1"/>
  <c r="AK73" i="12"/>
  <c r="G49" i="7"/>
  <c r="AG87" i="12" s="1"/>
  <c r="B63" i="7"/>
  <c r="AB112" i="12" s="1"/>
  <c r="Z17" i="26" s="1"/>
  <c r="AB99" i="12"/>
  <c r="F63" i="7"/>
  <c r="AF112" i="12" s="1"/>
  <c r="AD17" i="26" s="1"/>
  <c r="AF99" i="12"/>
  <c r="J63" i="7"/>
  <c r="AJ112" i="12" s="1"/>
  <c r="AJ99" i="12"/>
  <c r="N55" i="7"/>
  <c r="AB100" i="12"/>
  <c r="N56" i="7"/>
  <c r="AB101" i="12"/>
  <c r="AI128" i="12"/>
  <c r="I74" i="7"/>
  <c r="AI129" i="12" s="1"/>
  <c r="C92" i="7"/>
  <c r="AC162" i="12"/>
  <c r="AF165" i="12"/>
  <c r="F92" i="7"/>
  <c r="AF166" i="12" s="1"/>
  <c r="I14" i="8"/>
  <c r="W41" i="12" s="1"/>
  <c r="W39" i="12"/>
  <c r="U86" i="12"/>
  <c r="G38" i="8"/>
  <c r="U87" i="12" s="1"/>
  <c r="N77" i="8"/>
  <c r="P155" i="12"/>
  <c r="F79" i="8"/>
  <c r="T157" i="12" s="1"/>
  <c r="R24" i="26" s="1"/>
  <c r="T155" i="12"/>
  <c r="E79" i="8"/>
  <c r="S156" i="12"/>
  <c r="N81" i="8"/>
  <c r="P159" i="12"/>
  <c r="J86" i="8"/>
  <c r="X159" i="12"/>
  <c r="N83" i="8"/>
  <c r="T162" i="12"/>
  <c r="B18" i="10"/>
  <c r="AZ41" i="12" s="1"/>
  <c r="AZ36" i="12"/>
  <c r="F18" i="10"/>
  <c r="BD41" i="12" s="1"/>
  <c r="BD36" i="12"/>
  <c r="H18" i="10"/>
  <c r="BF41" i="12" s="1"/>
  <c r="BF39" i="12"/>
  <c r="B48" i="10"/>
  <c r="AZ79" i="12" s="1"/>
  <c r="AZ73" i="12"/>
  <c r="J48" i="10"/>
  <c r="BH79" i="12" s="1"/>
  <c r="BH73" i="12"/>
  <c r="E29" i="12"/>
  <c r="C7" i="26" s="1"/>
  <c r="C9" i="26" s="1"/>
  <c r="AP31" i="12"/>
  <c r="C24" i="6"/>
  <c r="AO46" i="12" s="1"/>
  <c r="AM11" i="26" s="1"/>
  <c r="AO33" i="12"/>
  <c r="N16" i="6"/>
  <c r="AX38" i="12"/>
  <c r="N22" i="6"/>
  <c r="AO44" i="12"/>
  <c r="E31" i="6"/>
  <c r="AQ59" i="12" s="1"/>
  <c r="AQ57" i="12"/>
  <c r="N41" i="6"/>
  <c r="AO70" i="12"/>
  <c r="N45" i="6"/>
  <c r="AW74" i="12"/>
  <c r="I55" i="6"/>
  <c r="AU87" i="12" s="1"/>
  <c r="AU86" i="12"/>
  <c r="M55" i="6"/>
  <c r="AY87" i="12" s="1"/>
  <c r="AY86" i="12"/>
  <c r="N56" i="6"/>
  <c r="AN88" i="12"/>
  <c r="L9" i="6"/>
  <c r="AX31" i="12" s="1"/>
  <c r="D19" i="6"/>
  <c r="AP41" i="12" s="1"/>
  <c r="AP36" i="12"/>
  <c r="H19" i="6"/>
  <c r="AT41" i="12" s="1"/>
  <c r="AT36" i="12"/>
  <c r="L19" i="6"/>
  <c r="AX41" i="12" s="1"/>
  <c r="AX36" i="12"/>
  <c r="N17" i="6"/>
  <c r="AN39" i="12"/>
  <c r="N18" i="6"/>
  <c r="AN40" i="12"/>
  <c r="J19" i="6"/>
  <c r="AV41" i="12" s="1"/>
  <c r="N23" i="6"/>
  <c r="AO45" i="12"/>
  <c r="C31" i="6"/>
  <c r="AO59" i="12" s="1"/>
  <c r="AO57" i="12"/>
  <c r="K31" i="6"/>
  <c r="AW59" i="12" s="1"/>
  <c r="AW57" i="12"/>
  <c r="D31" i="6"/>
  <c r="AP59" i="12" s="1"/>
  <c r="D38" i="6"/>
  <c r="AP67" i="12" s="1"/>
  <c r="AP64" i="12"/>
  <c r="H38" i="6"/>
  <c r="AT67" i="12" s="1"/>
  <c r="AT64" i="12"/>
  <c r="L38" i="6"/>
  <c r="AX67" i="12" s="1"/>
  <c r="AX64" i="12"/>
  <c r="J38" i="6"/>
  <c r="AV67" i="12" s="1"/>
  <c r="AV65" i="12"/>
  <c r="F38" i="6"/>
  <c r="AR67" i="12" s="1"/>
  <c r="C42" i="6"/>
  <c r="AO71" i="12" s="1"/>
  <c r="AO69" i="12"/>
  <c r="G42" i="6"/>
  <c r="AS71" i="12" s="1"/>
  <c r="AS69" i="12"/>
  <c r="E42" i="6"/>
  <c r="AQ71" i="12" s="1"/>
  <c r="M42" i="6"/>
  <c r="AY71" i="12" s="1"/>
  <c r="L47" i="6"/>
  <c r="AX79" i="12" s="1"/>
  <c r="AX73" i="12"/>
  <c r="N46" i="6"/>
  <c r="AO76" i="12"/>
  <c r="J47" i="6"/>
  <c r="AV79" i="12" s="1"/>
  <c r="N52" i="6"/>
  <c r="AV84" i="12"/>
  <c r="F55" i="6"/>
  <c r="AR87" i="12" s="1"/>
  <c r="AR85" i="12"/>
  <c r="K55" i="6"/>
  <c r="AW87" i="12" s="1"/>
  <c r="AW85" i="12"/>
  <c r="C55" i="6"/>
  <c r="AO87" i="12" s="1"/>
  <c r="AO86" i="12"/>
  <c r="G55" i="6"/>
  <c r="AS87" i="12" s="1"/>
  <c r="AS86" i="12"/>
  <c r="H55" i="6"/>
  <c r="AT87" i="12" s="1"/>
  <c r="F71" i="6"/>
  <c r="AR112" i="12" s="1"/>
  <c r="D80" i="6"/>
  <c r="AP126" i="12" s="1"/>
  <c r="AP123" i="12"/>
  <c r="B80" i="6"/>
  <c r="AN126" i="12" s="1"/>
  <c r="AN124" i="12"/>
  <c r="J80" i="6"/>
  <c r="AV126" i="12" s="1"/>
  <c r="AV124" i="12"/>
  <c r="M80" i="6"/>
  <c r="D83" i="6"/>
  <c r="AP129" i="12" s="1"/>
  <c r="AP128" i="12"/>
  <c r="H83" i="6"/>
  <c r="AT129" i="12" s="1"/>
  <c r="AT128" i="12"/>
  <c r="L83" i="6"/>
  <c r="AX129" i="12" s="1"/>
  <c r="AX128" i="12"/>
  <c r="J83" i="6"/>
  <c r="AV129" i="12" s="1"/>
  <c r="N93" i="6"/>
  <c r="AW145" i="12"/>
  <c r="B99" i="6"/>
  <c r="AN157" i="12" s="1"/>
  <c r="AL24" i="26" s="1"/>
  <c r="E103" i="6"/>
  <c r="AQ165" i="12"/>
  <c r="I103" i="6"/>
  <c r="AU165" i="12"/>
  <c r="M103" i="6"/>
  <c r="AY165" i="12"/>
  <c r="N104" i="6"/>
  <c r="AN167" i="12"/>
  <c r="J105" i="6"/>
  <c r="AV168" i="12" s="1"/>
  <c r="AT26" i="26" s="1"/>
  <c r="AV167" i="12"/>
  <c r="I18" i="7"/>
  <c r="AI36" i="12"/>
  <c r="M18" i="7"/>
  <c r="AM36" i="12"/>
  <c r="N29" i="7"/>
  <c r="AB62" i="12"/>
  <c r="E33" i="7"/>
  <c r="AE67" i="12" s="1"/>
  <c r="AE64" i="12"/>
  <c r="I33" i="7"/>
  <c r="AI67" i="12" s="1"/>
  <c r="AI64" i="12"/>
  <c r="J37" i="7"/>
  <c r="AJ71" i="12" s="1"/>
  <c r="AJ69" i="12"/>
  <c r="N36" i="7"/>
  <c r="AL70" i="12"/>
  <c r="J42" i="7"/>
  <c r="AJ79" i="12" s="1"/>
  <c r="AJ73" i="12"/>
  <c r="C42" i="7"/>
  <c r="AC79" i="12" s="1"/>
  <c r="AC76" i="12"/>
  <c r="I42" i="7"/>
  <c r="AI79" i="12" s="1"/>
  <c r="F49" i="7"/>
  <c r="AF87" i="12" s="1"/>
  <c r="AF85" i="12"/>
  <c r="J49" i="7"/>
  <c r="AJ87" i="12" s="1"/>
  <c r="AJ85" i="12"/>
  <c r="C49" i="7"/>
  <c r="AC87" i="12" s="1"/>
  <c r="N59" i="7"/>
  <c r="M63" i="7"/>
  <c r="AM112" i="12" s="1"/>
  <c r="AM22" i="12" s="1"/>
  <c r="AF119" i="12"/>
  <c r="N67" i="7"/>
  <c r="AB121" i="12"/>
  <c r="E71" i="7"/>
  <c r="AE123" i="12"/>
  <c r="I71" i="7"/>
  <c r="AI123" i="12"/>
  <c r="M71" i="7"/>
  <c r="AM123" i="12"/>
  <c r="M74" i="7"/>
  <c r="AM129" i="12" s="1"/>
  <c r="J92" i="7"/>
  <c r="AJ166" i="12" s="1"/>
  <c r="N93" i="7"/>
  <c r="AF167" i="12"/>
  <c r="N7" i="8"/>
  <c r="P29" i="12"/>
  <c r="N7" i="26" s="1"/>
  <c r="F9" i="8"/>
  <c r="T29" i="12"/>
  <c r="R7" i="26" s="1"/>
  <c r="R9" i="26" s="1"/>
  <c r="N8" i="8"/>
  <c r="P30" i="12"/>
  <c r="N8" i="26" s="1"/>
  <c r="J9" i="8"/>
  <c r="X30" i="12"/>
  <c r="V8" i="26" s="1"/>
  <c r="V9" i="26" s="1"/>
  <c r="D17" i="8"/>
  <c r="R46" i="12" s="1"/>
  <c r="P11" i="26" s="1"/>
  <c r="R33" i="12"/>
  <c r="Z33" i="12"/>
  <c r="H14" i="8"/>
  <c r="V41" i="12" s="1"/>
  <c r="V39" i="12"/>
  <c r="L14" i="8"/>
  <c r="Z41" i="12" s="1"/>
  <c r="Z39" i="12"/>
  <c r="N22" i="8"/>
  <c r="P57" i="12"/>
  <c r="N23" i="8"/>
  <c r="P62" i="12"/>
  <c r="E27" i="8"/>
  <c r="S64" i="12"/>
  <c r="I27" i="8"/>
  <c r="W67" i="12" s="1"/>
  <c r="W64" i="12"/>
  <c r="M27" i="8"/>
  <c r="AA67" i="12" s="1"/>
  <c r="AA64" i="12"/>
  <c r="H48" i="8"/>
  <c r="V112" i="12" s="1"/>
  <c r="T17" i="26" s="1"/>
  <c r="V104" i="12"/>
  <c r="E48" i="8"/>
  <c r="S112" i="12" s="1"/>
  <c r="Q17" i="26" s="1"/>
  <c r="S106" i="12"/>
  <c r="AA121" i="12"/>
  <c r="H55" i="8"/>
  <c r="V126" i="12" s="1"/>
  <c r="V123" i="12"/>
  <c r="L55" i="8"/>
  <c r="Z123" i="12"/>
  <c r="K55" i="8"/>
  <c r="Y126" i="12" s="1"/>
  <c r="Y124" i="12"/>
  <c r="E62" i="8"/>
  <c r="S133" i="12" s="1"/>
  <c r="S78" i="12"/>
  <c r="I62" i="8"/>
  <c r="W133" i="12" s="1"/>
  <c r="W78" i="12"/>
  <c r="M62" i="8"/>
  <c r="AA133" i="12" s="1"/>
  <c r="AA78" i="12"/>
  <c r="AA159" i="12"/>
  <c r="M86" i="8"/>
  <c r="E86" i="8"/>
  <c r="S161" i="12"/>
  <c r="I86" i="8"/>
  <c r="F15" i="9"/>
  <c r="H48" i="12" s="1"/>
  <c r="H31" i="12"/>
  <c r="B58" i="9"/>
  <c r="D143" i="12" s="1"/>
  <c r="D136" i="12"/>
  <c r="J58" i="9"/>
  <c r="L143" i="12" s="1"/>
  <c r="L136" i="12"/>
  <c r="D9" i="10"/>
  <c r="BB30" i="12"/>
  <c r="AZ8" i="26" s="1"/>
  <c r="AZ9" i="26" s="1"/>
  <c r="H9" i="10"/>
  <c r="BF30" i="12"/>
  <c r="BD8" i="26" s="1"/>
  <c r="L9" i="10"/>
  <c r="BJ30" i="12"/>
  <c r="BH8" i="26" s="1"/>
  <c r="BH9" i="26" s="1"/>
  <c r="B108" i="10"/>
  <c r="AZ166" i="12" s="1"/>
  <c r="AZ165" i="12"/>
  <c r="F108" i="10"/>
  <c r="BD165" i="12"/>
  <c r="J108" i="10"/>
  <c r="BH165" i="12"/>
  <c r="C110" i="10"/>
  <c r="BA168" i="12" s="1"/>
  <c r="AY26" i="26" s="1"/>
  <c r="BA166" i="12"/>
  <c r="I29" i="12"/>
  <c r="G7" i="26" s="1"/>
  <c r="G9" i="26" s="1"/>
  <c r="M84" i="12"/>
  <c r="R29" i="12"/>
  <c r="P7" i="26" s="1"/>
  <c r="P9" i="26" s="1"/>
  <c r="V29" i="12"/>
  <c r="T7" i="26" s="1"/>
  <c r="T9" i="26" s="1"/>
  <c r="Z29" i="12"/>
  <c r="X7" i="26" s="1"/>
  <c r="X9" i="26" s="1"/>
  <c r="V74" i="12"/>
  <c r="Z74" i="12"/>
  <c r="N13" i="9"/>
  <c r="D14" i="9"/>
  <c r="F46" i="12" s="1"/>
  <c r="D11" i="26" s="1"/>
  <c r="N17" i="9"/>
  <c r="N23" i="9"/>
  <c r="F37" i="9"/>
  <c r="H91" i="12" s="1"/>
  <c r="F16" i="26" s="1"/>
  <c r="J37" i="9"/>
  <c r="L91" i="12" s="1"/>
  <c r="J16" i="26" s="1"/>
  <c r="N27" i="9"/>
  <c r="N32" i="9"/>
  <c r="N39" i="9"/>
  <c r="C52" i="9"/>
  <c r="E135" i="12" s="1"/>
  <c r="C18" i="26" s="1"/>
  <c r="K52" i="9"/>
  <c r="M135" i="12" s="1"/>
  <c r="K18" i="26" s="1"/>
  <c r="N50" i="9"/>
  <c r="F52" i="9"/>
  <c r="H135" i="12" s="1"/>
  <c r="F18" i="26" s="1"/>
  <c r="J52" i="9"/>
  <c r="L135" i="12" s="1"/>
  <c r="J18" i="26" s="1"/>
  <c r="C58" i="9"/>
  <c r="E143" i="12" s="1"/>
  <c r="G58" i="9"/>
  <c r="I143" i="12" s="1"/>
  <c r="K58" i="9"/>
  <c r="M143" i="12" s="1"/>
  <c r="E9" i="10"/>
  <c r="BC29" i="12"/>
  <c r="BA7" i="26" s="1"/>
  <c r="BA9" i="26" s="1"/>
  <c r="I9" i="10"/>
  <c r="BG29" i="12"/>
  <c r="BE7" i="26" s="1"/>
  <c r="BE9" i="26" s="1"/>
  <c r="M9" i="10"/>
  <c r="BK31" i="12" s="1"/>
  <c r="BK29" i="12"/>
  <c r="BI7" i="26" s="1"/>
  <c r="BI9" i="26" s="1"/>
  <c r="B22" i="10"/>
  <c r="AZ46" i="12" s="1"/>
  <c r="AX11" i="26" s="1"/>
  <c r="AZ33" i="12"/>
  <c r="F22" i="10"/>
  <c r="BD46" i="12" s="1"/>
  <c r="BB11" i="26" s="1"/>
  <c r="BD33" i="12"/>
  <c r="J22" i="10"/>
  <c r="BH46" i="12" s="1"/>
  <c r="BF11" i="26" s="1"/>
  <c r="BH33" i="12"/>
  <c r="N12" i="10"/>
  <c r="AZ34" i="12"/>
  <c r="M18" i="10"/>
  <c r="BK41" i="12" s="1"/>
  <c r="BK38" i="12"/>
  <c r="N19" i="10"/>
  <c r="AZ42" i="12"/>
  <c r="N20" i="10"/>
  <c r="AZ43" i="12"/>
  <c r="N21" i="10"/>
  <c r="AZ44" i="12"/>
  <c r="L31" i="10"/>
  <c r="N34" i="10"/>
  <c r="BB63" i="12"/>
  <c r="K38" i="10"/>
  <c r="BI67" i="12" s="1"/>
  <c r="C41" i="10"/>
  <c r="BA71" i="12" s="1"/>
  <c r="BA69" i="12"/>
  <c r="G41" i="10"/>
  <c r="BE71" i="12" s="1"/>
  <c r="BE69" i="12"/>
  <c r="K41" i="10"/>
  <c r="BI71" i="12" s="1"/>
  <c r="BI69" i="12"/>
  <c r="N49" i="10"/>
  <c r="AZ80" i="12"/>
  <c r="E56" i="10"/>
  <c r="BC87" i="12" s="1"/>
  <c r="BC85" i="12"/>
  <c r="I56" i="10"/>
  <c r="BG87" i="12" s="1"/>
  <c r="BG85" i="12"/>
  <c r="M56" i="10"/>
  <c r="BK87" i="12" s="1"/>
  <c r="BK85" i="12"/>
  <c r="M72" i="10"/>
  <c r="BK112" i="12" s="1"/>
  <c r="BK100" i="12"/>
  <c r="K72" i="10"/>
  <c r="BI112" i="12" s="1"/>
  <c r="BI104" i="12"/>
  <c r="BC122" i="12"/>
  <c r="BG122" i="12"/>
  <c r="H82" i="10"/>
  <c r="BF126" i="12" s="1"/>
  <c r="I85" i="10"/>
  <c r="BG129" i="12" s="1"/>
  <c r="N97" i="10"/>
  <c r="BH148" i="12"/>
  <c r="N98" i="10"/>
  <c r="BG149" i="12"/>
  <c r="D104" i="10"/>
  <c r="BB155" i="12"/>
  <c r="H104" i="10"/>
  <c r="BF155" i="12"/>
  <c r="L104" i="10"/>
  <c r="BJ155" i="12"/>
  <c r="AZ157" i="12"/>
  <c r="AX24" i="26" s="1"/>
  <c r="BH157" i="12"/>
  <c r="BF24" i="26" s="1"/>
  <c r="G108" i="10"/>
  <c r="L29" i="12"/>
  <c r="J7" i="26" s="1"/>
  <c r="J9" i="26" s="1"/>
  <c r="D29" i="12"/>
  <c r="B7" i="26" s="1"/>
  <c r="B9" i="26" s="1"/>
  <c r="L134" i="12"/>
  <c r="H134" i="12"/>
  <c r="L132" i="12"/>
  <c r="H132" i="12"/>
  <c r="D132" i="12"/>
  <c r="L115" i="12"/>
  <c r="L85" i="12"/>
  <c r="H85" i="12"/>
  <c r="D85" i="12"/>
  <c r="D51" i="12"/>
  <c r="L33" i="12"/>
  <c r="H33" i="12"/>
  <c r="D33" i="12"/>
  <c r="S29" i="12"/>
  <c r="Q7" i="26" s="1"/>
  <c r="Q9" i="26" s="1"/>
  <c r="AA74" i="12"/>
  <c r="S86" i="12"/>
  <c r="W86" i="12"/>
  <c r="W123" i="12"/>
  <c r="AA123" i="12"/>
  <c r="N70" i="7"/>
  <c r="AB124" i="12"/>
  <c r="C71" i="7"/>
  <c r="G74" i="7"/>
  <c r="AG129" i="12" s="1"/>
  <c r="F81" i="7"/>
  <c r="AF133" i="12" s="1"/>
  <c r="AF78" i="12"/>
  <c r="J81" i="7"/>
  <c r="AJ133" i="12" s="1"/>
  <c r="AJ78" i="12"/>
  <c r="N87" i="7"/>
  <c r="AK159" i="12"/>
  <c r="D92" i="7"/>
  <c r="AD165" i="12"/>
  <c r="H92" i="7"/>
  <c r="AH165" i="12"/>
  <c r="L92" i="7"/>
  <c r="AL165" i="12"/>
  <c r="N91" i="7"/>
  <c r="AB164" i="12"/>
  <c r="B17" i="8"/>
  <c r="P46" i="12" s="1"/>
  <c r="N11" i="26" s="1"/>
  <c r="F17" i="8"/>
  <c r="T46" i="12" s="1"/>
  <c r="R11" i="26" s="1"/>
  <c r="J17" i="8"/>
  <c r="X46" i="12" s="1"/>
  <c r="V11" i="26" s="1"/>
  <c r="F41" i="8"/>
  <c r="T91" i="12" s="1"/>
  <c r="R16" i="26" s="1"/>
  <c r="L38" i="8"/>
  <c r="Z87" i="12" s="1"/>
  <c r="C38" i="8"/>
  <c r="Q87" i="12" s="1"/>
  <c r="N39" i="8"/>
  <c r="L48" i="8"/>
  <c r="Z112" i="12" s="1"/>
  <c r="X17" i="26" s="1"/>
  <c r="I48" i="8"/>
  <c r="W112" i="12" s="1"/>
  <c r="U17" i="26" s="1"/>
  <c r="B48" i="8"/>
  <c r="P112" i="12" s="1"/>
  <c r="N17" i="26" s="1"/>
  <c r="F48" i="8"/>
  <c r="T112" i="12" s="1"/>
  <c r="R17" i="26" s="1"/>
  <c r="J48" i="8"/>
  <c r="X112" i="12" s="1"/>
  <c r="V17" i="26" s="1"/>
  <c r="E55" i="8"/>
  <c r="S126" i="12" s="1"/>
  <c r="I63" i="8"/>
  <c r="M63" i="8"/>
  <c r="AA134" i="12" s="1"/>
  <c r="N59" i="8"/>
  <c r="N60" i="8"/>
  <c r="N61" i="8"/>
  <c r="B62" i="8"/>
  <c r="J62" i="8"/>
  <c r="X133" i="12" s="1"/>
  <c r="G73" i="8"/>
  <c r="U143" i="12" s="1"/>
  <c r="K73" i="8"/>
  <c r="Y143" i="12" s="1"/>
  <c r="K79" i="8"/>
  <c r="Y157" i="12" s="1"/>
  <c r="W24" i="26" s="1"/>
  <c r="Y156" i="12"/>
  <c r="I79" i="8"/>
  <c r="W157" i="12" s="1"/>
  <c r="U24" i="26" s="1"/>
  <c r="C86" i="8"/>
  <c r="Q159" i="12"/>
  <c r="G86" i="8"/>
  <c r="U159" i="12"/>
  <c r="K86" i="8"/>
  <c r="Y159" i="12"/>
  <c r="N82" i="8"/>
  <c r="Q160" i="12"/>
  <c r="E14" i="9"/>
  <c r="G46" i="12" s="1"/>
  <c r="E11" i="26" s="1"/>
  <c r="I14" i="9"/>
  <c r="K46" i="12" s="1"/>
  <c r="I11" i="26" s="1"/>
  <c r="M14" i="9"/>
  <c r="O46" i="12" s="1"/>
  <c r="M11" i="26" s="1"/>
  <c r="H14" i="9"/>
  <c r="J46" i="12" s="1"/>
  <c r="H11" i="26" s="1"/>
  <c r="N26" i="9"/>
  <c r="N28" i="9"/>
  <c r="N29" i="9"/>
  <c r="E33" i="9"/>
  <c r="G87" i="12" s="1"/>
  <c r="I33" i="9"/>
  <c r="K87" i="12" s="1"/>
  <c r="M33" i="9"/>
  <c r="O87" i="12" s="1"/>
  <c r="D33" i="9"/>
  <c r="F87" i="12" s="1"/>
  <c r="N34" i="9"/>
  <c r="N40" i="9"/>
  <c r="N41" i="9"/>
  <c r="N42" i="9"/>
  <c r="H52" i="9"/>
  <c r="J135" i="12" s="1"/>
  <c r="H18" i="26" s="1"/>
  <c r="D52" i="9"/>
  <c r="F135" i="12" s="1"/>
  <c r="D18" i="26" s="1"/>
  <c r="D58" i="9"/>
  <c r="F143" i="12" s="1"/>
  <c r="H58" i="9"/>
  <c r="J143" i="12" s="1"/>
  <c r="M58" i="9"/>
  <c r="O143" i="12" s="1"/>
  <c r="L69" i="9"/>
  <c r="B9" i="10"/>
  <c r="AZ31" i="12" s="1"/>
  <c r="AZ29" i="12"/>
  <c r="AX7" i="26" s="1"/>
  <c r="F9" i="10"/>
  <c r="BD31" i="12" s="1"/>
  <c r="BD29" i="12"/>
  <c r="BB7" i="26" s="1"/>
  <c r="BB9" i="26" s="1"/>
  <c r="J9" i="10"/>
  <c r="BH31" i="12" s="1"/>
  <c r="BH29" i="12"/>
  <c r="BF7" i="26" s="1"/>
  <c r="BF9" i="26" s="1"/>
  <c r="N8" i="10"/>
  <c r="AZ30" i="12"/>
  <c r="AX8" i="26" s="1"/>
  <c r="C9" i="10"/>
  <c r="N15" i="10"/>
  <c r="AZ37" i="12"/>
  <c r="N16" i="10"/>
  <c r="AZ38" i="12"/>
  <c r="N17" i="10"/>
  <c r="AZ39" i="12"/>
  <c r="C18" i="10"/>
  <c r="E31" i="10"/>
  <c r="BC59" i="12" s="1"/>
  <c r="BC58" i="12"/>
  <c r="I31" i="10"/>
  <c r="BG59" i="12" s="1"/>
  <c r="BG58" i="12"/>
  <c r="M31" i="10"/>
  <c r="BK59" i="12" s="1"/>
  <c r="BK58" i="12"/>
  <c r="N32" i="10"/>
  <c r="AZ60" i="12"/>
  <c r="N33" i="10"/>
  <c r="BJ62" i="12"/>
  <c r="B38" i="10"/>
  <c r="AZ67" i="12" s="1"/>
  <c r="AZ64" i="12"/>
  <c r="F38" i="10"/>
  <c r="BD67" i="12" s="1"/>
  <c r="BD64" i="12"/>
  <c r="L38" i="10"/>
  <c r="BJ67" i="12" s="1"/>
  <c r="H41" i="10"/>
  <c r="BF71" i="12" s="1"/>
  <c r="D48" i="10"/>
  <c r="BB79" i="12" s="1"/>
  <c r="BB73" i="12"/>
  <c r="L48" i="10"/>
  <c r="BJ79" i="12" s="1"/>
  <c r="BJ73" i="12"/>
  <c r="N45" i="10"/>
  <c r="AZ76" i="12"/>
  <c r="N46" i="10"/>
  <c r="BF77" i="12"/>
  <c r="N54" i="10"/>
  <c r="AZ85" i="12"/>
  <c r="B56" i="10"/>
  <c r="AZ87" i="12" s="1"/>
  <c r="J56" i="10"/>
  <c r="BH87" i="12" s="1"/>
  <c r="C72" i="10"/>
  <c r="BA112" i="12" s="1"/>
  <c r="BA22" i="12" s="1"/>
  <c r="BA25" i="12" s="1"/>
  <c r="BA99" i="12"/>
  <c r="G72" i="10"/>
  <c r="BE112" i="12" s="1"/>
  <c r="BE22" i="12" s="1"/>
  <c r="BE25" i="12" s="1"/>
  <c r="BE99" i="12"/>
  <c r="N63" i="10"/>
  <c r="AZ100" i="12"/>
  <c r="N64" i="10"/>
  <c r="BA101" i="12"/>
  <c r="L72" i="10"/>
  <c r="BJ112" i="12" s="1"/>
  <c r="BJ104" i="12"/>
  <c r="N75" i="10"/>
  <c r="AZ119" i="12"/>
  <c r="BH119" i="12"/>
  <c r="N76" i="10"/>
  <c r="AZ120" i="12"/>
  <c r="N77" i="10"/>
  <c r="AZ121" i="12"/>
  <c r="I82" i="10"/>
  <c r="BG126" i="12" s="1"/>
  <c r="B85" i="10"/>
  <c r="AZ129" i="12" s="1"/>
  <c r="J85" i="10"/>
  <c r="BH129" i="12" s="1"/>
  <c r="D92" i="10"/>
  <c r="BB133" i="12" s="1"/>
  <c r="E104" i="10"/>
  <c r="BC157" i="12" s="1"/>
  <c r="BA24" i="26" s="1"/>
  <c r="BC155" i="12"/>
  <c r="I104" i="10"/>
  <c r="BG157" i="12" s="1"/>
  <c r="BE24" i="26" s="1"/>
  <c r="BG155" i="12"/>
  <c r="M104" i="10"/>
  <c r="BK157" i="12" s="1"/>
  <c r="BI24" i="26" s="1"/>
  <c r="BK155" i="12"/>
  <c r="D108" i="10"/>
  <c r="BB165" i="12"/>
  <c r="H108" i="10"/>
  <c r="BF165" i="12"/>
  <c r="L108" i="10"/>
  <c r="BJ165" i="12"/>
  <c r="K108" i="10"/>
  <c r="O29" i="12"/>
  <c r="M7" i="26" s="1"/>
  <c r="M9" i="26" s="1"/>
  <c r="K29" i="12"/>
  <c r="I7" i="26" s="1"/>
  <c r="I9" i="26" s="1"/>
  <c r="G29" i="12"/>
  <c r="E7" i="26" s="1"/>
  <c r="E9" i="26" s="1"/>
  <c r="G166" i="12"/>
  <c r="G161" i="12"/>
  <c r="O138" i="12"/>
  <c r="G86" i="12"/>
  <c r="O85" i="12"/>
  <c r="K85" i="12"/>
  <c r="G85" i="12"/>
  <c r="G41" i="12"/>
  <c r="O33" i="12"/>
  <c r="K33" i="12"/>
  <c r="G33" i="12"/>
  <c r="P33" i="12"/>
  <c r="T33" i="12"/>
  <c r="X33" i="12"/>
  <c r="X39" i="12"/>
  <c r="T62" i="12"/>
  <c r="P64" i="12"/>
  <c r="T64" i="12"/>
  <c r="X64" i="12"/>
  <c r="P78" i="12"/>
  <c r="T86" i="12"/>
  <c r="P88" i="12"/>
  <c r="P107" i="12"/>
  <c r="T107" i="12"/>
  <c r="X107" i="12"/>
  <c r="P120" i="12"/>
  <c r="P123" i="12"/>
  <c r="T123" i="12"/>
  <c r="P132" i="12"/>
  <c r="U137" i="12"/>
  <c r="G71" i="7"/>
  <c r="H74" i="7"/>
  <c r="AH129" i="12" s="1"/>
  <c r="AH128" i="12"/>
  <c r="L74" i="7"/>
  <c r="AL129" i="12" s="1"/>
  <c r="AL128" i="12"/>
  <c r="C81" i="7"/>
  <c r="AC133" i="12" s="1"/>
  <c r="AC78" i="12"/>
  <c r="G81" i="7"/>
  <c r="AG133" i="12" s="1"/>
  <c r="AG78" i="12"/>
  <c r="K81" i="7"/>
  <c r="AK133" i="12" s="1"/>
  <c r="AK78" i="12"/>
  <c r="N80" i="7"/>
  <c r="N88" i="7"/>
  <c r="AB162" i="12"/>
  <c r="E92" i="7"/>
  <c r="AE165" i="12"/>
  <c r="I92" i="7"/>
  <c r="AI165" i="12"/>
  <c r="M92" i="7"/>
  <c r="AM165" i="12"/>
  <c r="K17" i="8"/>
  <c r="Y46" i="12" s="1"/>
  <c r="W11" i="26" s="1"/>
  <c r="C17" i="8"/>
  <c r="Q46" i="12" s="1"/>
  <c r="O11" i="26" s="1"/>
  <c r="N32" i="8"/>
  <c r="B38" i="8"/>
  <c r="P87" i="12" s="1"/>
  <c r="C48" i="8"/>
  <c r="Q112" i="12" s="1"/>
  <c r="O17" i="26" s="1"/>
  <c r="G48" i="8"/>
  <c r="U112" i="12" s="1"/>
  <c r="S17" i="26" s="1"/>
  <c r="K48" i="8"/>
  <c r="Y112" i="12" s="1"/>
  <c r="W17" i="26" s="1"/>
  <c r="F63" i="8"/>
  <c r="T134" i="12" s="1"/>
  <c r="J55" i="8"/>
  <c r="N55" i="8" s="1"/>
  <c r="N54" i="8"/>
  <c r="C62" i="8"/>
  <c r="Q133" i="12" s="1"/>
  <c r="K62" i="8"/>
  <c r="Y133" i="12" s="1"/>
  <c r="H73" i="8"/>
  <c r="V143" i="12" s="1"/>
  <c r="L73" i="8"/>
  <c r="Z143" i="12" s="1"/>
  <c r="D73" i="8"/>
  <c r="R143" i="12" s="1"/>
  <c r="N68" i="8"/>
  <c r="T139" i="12"/>
  <c r="B73" i="8"/>
  <c r="P143" i="12" s="1"/>
  <c r="P140" i="12"/>
  <c r="L79" i="8"/>
  <c r="Z156" i="12"/>
  <c r="D86" i="8"/>
  <c r="R159" i="12"/>
  <c r="H86" i="8"/>
  <c r="V159" i="12"/>
  <c r="L86" i="8"/>
  <c r="Z159" i="12"/>
  <c r="L14" i="9"/>
  <c r="N46" i="12" s="1"/>
  <c r="L11" i="26" s="1"/>
  <c r="N18" i="9"/>
  <c r="N21" i="9"/>
  <c r="N25" i="9"/>
  <c r="H33" i="9"/>
  <c r="J87" i="12" s="1"/>
  <c r="N35" i="9"/>
  <c r="N36" i="9"/>
  <c r="J46" i="9"/>
  <c r="L116" i="12" s="1"/>
  <c r="E52" i="9"/>
  <c r="G135" i="12" s="1"/>
  <c r="E18" i="26" s="1"/>
  <c r="I52" i="9"/>
  <c r="K135" i="12" s="1"/>
  <c r="I18" i="26" s="1"/>
  <c r="M52" i="9"/>
  <c r="O135" i="12" s="1"/>
  <c r="M18" i="26" s="1"/>
  <c r="L51" i="9"/>
  <c r="N134" i="12" s="1"/>
  <c r="N53" i="9"/>
  <c r="N57" i="9"/>
  <c r="E58" i="9"/>
  <c r="G143" i="12" s="1"/>
  <c r="C72" i="9"/>
  <c r="E170" i="12" s="1"/>
  <c r="C28" i="26" s="1"/>
  <c r="G72" i="9"/>
  <c r="I170" i="12" s="1"/>
  <c r="G28" i="26" s="1"/>
  <c r="I69" i="9"/>
  <c r="M69" i="9"/>
  <c r="G9" i="10"/>
  <c r="D22" i="10"/>
  <c r="BB46" i="12" s="1"/>
  <c r="AZ11" i="26" s="1"/>
  <c r="BB33" i="12"/>
  <c r="H22" i="10"/>
  <c r="BF46" i="12" s="1"/>
  <c r="BD11" i="26" s="1"/>
  <c r="BF33" i="12"/>
  <c r="BJ33" i="12"/>
  <c r="N13" i="10"/>
  <c r="E18" i="10"/>
  <c r="BC41" i="12" s="1"/>
  <c r="BC36" i="12"/>
  <c r="I18" i="10"/>
  <c r="BG41" i="12" s="1"/>
  <c r="BG36" i="12"/>
  <c r="G18" i="10"/>
  <c r="B31" i="10"/>
  <c r="AZ59" i="12" s="1"/>
  <c r="AZ57" i="12"/>
  <c r="F31" i="10"/>
  <c r="BD57" i="12"/>
  <c r="J31" i="10"/>
  <c r="BH57" i="12"/>
  <c r="N30" i="10"/>
  <c r="AZ58" i="12"/>
  <c r="D31" i="10"/>
  <c r="C38" i="10"/>
  <c r="BA67" i="12" s="1"/>
  <c r="BA65" i="12"/>
  <c r="I41" i="10"/>
  <c r="BG71" i="12" s="1"/>
  <c r="E48" i="10"/>
  <c r="BC79" i="12" s="1"/>
  <c r="BC73" i="12"/>
  <c r="I48" i="10"/>
  <c r="BG79" i="12" s="1"/>
  <c r="BG73" i="12"/>
  <c r="C48" i="10"/>
  <c r="BA79" i="12" s="1"/>
  <c r="BA76" i="12"/>
  <c r="G48" i="10"/>
  <c r="BE79" i="12" s="1"/>
  <c r="C56" i="10"/>
  <c r="BA87" i="12" s="1"/>
  <c r="K56" i="10"/>
  <c r="BI87" i="12" s="1"/>
  <c r="E72" i="10"/>
  <c r="BC112" i="12" s="1"/>
  <c r="BC22" i="12" s="1"/>
  <c r="BC96" i="12"/>
  <c r="D72" i="10"/>
  <c r="BB112" i="12" s="1"/>
  <c r="BB22" i="12" s="1"/>
  <c r="BB25" i="12" s="1"/>
  <c r="BB99" i="12"/>
  <c r="H72" i="10"/>
  <c r="BF112" i="12" s="1"/>
  <c r="BF99" i="12"/>
  <c r="N70" i="10"/>
  <c r="BB110" i="12"/>
  <c r="N71" i="10"/>
  <c r="AZ111" i="12"/>
  <c r="BA122" i="12"/>
  <c r="BE122" i="12"/>
  <c r="K93" i="10"/>
  <c r="BI134" i="12" s="1"/>
  <c r="BI122" i="12"/>
  <c r="F82" i="10"/>
  <c r="BD124" i="12"/>
  <c r="J82" i="10"/>
  <c r="BH124" i="12"/>
  <c r="N81" i="10"/>
  <c r="AZ125" i="12"/>
  <c r="D82" i="10"/>
  <c r="BB126" i="12" s="1"/>
  <c r="L82" i="10"/>
  <c r="BJ126" i="12" s="1"/>
  <c r="C85" i="10"/>
  <c r="BA129" i="12" s="1"/>
  <c r="BA128" i="12"/>
  <c r="G85" i="10"/>
  <c r="BE129" i="12" s="1"/>
  <c r="BE128" i="12"/>
  <c r="K85" i="10"/>
  <c r="BI129" i="12" s="1"/>
  <c r="BI128" i="12"/>
  <c r="E85" i="10"/>
  <c r="BC129" i="12" s="1"/>
  <c r="M85" i="10"/>
  <c r="BK129" i="12" s="1"/>
  <c r="N91" i="10"/>
  <c r="N96" i="10"/>
  <c r="BE147" i="12"/>
  <c r="F104" i="10"/>
  <c r="E108" i="10"/>
  <c r="BC165" i="12"/>
  <c r="I108" i="10"/>
  <c r="BG165" i="12"/>
  <c r="M108" i="10"/>
  <c r="BK165" i="12"/>
  <c r="N109" i="10"/>
  <c r="AZ167" i="12"/>
  <c r="N29" i="12"/>
  <c r="L7" i="26" s="1"/>
  <c r="L9" i="26" s="1"/>
  <c r="J29" i="12"/>
  <c r="H7" i="26" s="1"/>
  <c r="H9" i="26" s="1"/>
  <c r="F29" i="12"/>
  <c r="D7" i="26" s="1"/>
  <c r="D9" i="26" s="1"/>
  <c r="J166" i="12"/>
  <c r="N157" i="12"/>
  <c r="L24" i="26" s="1"/>
  <c r="N138" i="12"/>
  <c r="J136" i="12"/>
  <c r="F136" i="12"/>
  <c r="N132" i="12"/>
  <c r="J132" i="12"/>
  <c r="F132" i="12"/>
  <c r="F121" i="12"/>
  <c r="N118" i="12"/>
  <c r="J118" i="12"/>
  <c r="F98" i="12"/>
  <c r="F97" i="12"/>
  <c r="F81" i="12"/>
  <c r="F72" i="12"/>
  <c r="N31" i="12"/>
  <c r="J31" i="12"/>
  <c r="F31" i="12"/>
  <c r="Y39" i="12"/>
  <c r="Q41" i="12"/>
  <c r="Y41" i="12"/>
  <c r="Q64" i="12"/>
  <c r="U64" i="12"/>
  <c r="Y64" i="12"/>
  <c r="Q74" i="12"/>
  <c r="U74" i="12"/>
  <c r="Q107" i="12"/>
  <c r="U107" i="12"/>
  <c r="Y107" i="12"/>
  <c r="V137" i="12"/>
  <c r="F31" i="17"/>
  <c r="G31" i="17" s="1"/>
  <c r="G33" i="17" s="1"/>
  <c r="C66" i="17"/>
  <c r="B68" i="17"/>
  <c r="D86" i="20"/>
  <c r="C88" i="20"/>
  <c r="N16" i="23"/>
  <c r="L19" i="23"/>
  <c r="L20" i="23" s="1"/>
  <c r="L29" i="23" s="1"/>
  <c r="N174" i="12" s="1"/>
  <c r="L32" i="26" s="1"/>
  <c r="H19" i="23"/>
  <c r="H20" i="23" s="1"/>
  <c r="H29" i="23" s="1"/>
  <c r="J174" i="12" s="1"/>
  <c r="H32" i="26" s="1"/>
  <c r="D19" i="23"/>
  <c r="D20" i="23" s="1"/>
  <c r="N7" i="23"/>
  <c r="E27" i="24"/>
  <c r="BC180" i="12"/>
  <c r="BA36" i="26" s="1"/>
  <c r="I27" i="24"/>
  <c r="I28" i="24" s="1"/>
  <c r="BG180" i="12"/>
  <c r="BE36" i="26" s="1"/>
  <c r="M27" i="24"/>
  <c r="BK180" i="12"/>
  <c r="BI36" i="26" s="1"/>
  <c r="B77" i="16"/>
  <c r="C76" i="16"/>
  <c r="D76" i="16" s="1"/>
  <c r="E76" i="16" s="1"/>
  <c r="F76" i="16" s="1"/>
  <c r="G76" i="16" s="1"/>
  <c r="H76" i="16" s="1"/>
  <c r="I76" i="16" s="1"/>
  <c r="J76" i="16" s="1"/>
  <c r="K76" i="16" s="1"/>
  <c r="L76" i="16" s="1"/>
  <c r="M76" i="16" s="1"/>
  <c r="D18" i="17"/>
  <c r="C19" i="17"/>
  <c r="D43" i="17"/>
  <c r="E41" i="17"/>
  <c r="C32" i="17"/>
  <c r="D32" i="17" s="1"/>
  <c r="E32" i="17" s="1"/>
  <c r="F32" i="17" s="1"/>
  <c r="G32" i="17" s="1"/>
  <c r="H32" i="17" s="1"/>
  <c r="I32" i="17" s="1"/>
  <c r="J32" i="17" s="1"/>
  <c r="B33" i="17"/>
  <c r="B62" i="19"/>
  <c r="B66" i="19" s="1"/>
  <c r="B69" i="19" s="1"/>
  <c r="C60" i="19"/>
  <c r="D60" i="19" s="1"/>
  <c r="B27" i="20"/>
  <c r="B34" i="20" s="1"/>
  <c r="AZ177" i="12"/>
  <c r="E44" i="16"/>
  <c r="F44" i="16" s="1"/>
  <c r="D45" i="16"/>
  <c r="D15" i="18"/>
  <c r="G63" i="19"/>
  <c r="F65" i="19"/>
  <c r="K25" i="25"/>
  <c r="K26" i="25" s="1"/>
  <c r="K36" i="25" s="1"/>
  <c r="AK174" i="12" s="1"/>
  <c r="AI32" i="26" s="1"/>
  <c r="D92" i="16"/>
  <c r="E92" i="16" s="1"/>
  <c r="F92" i="16" s="1"/>
  <c r="G92" i="16" s="1"/>
  <c r="H92" i="16" s="1"/>
  <c r="I92" i="16" s="1"/>
  <c r="J92" i="16" s="1"/>
  <c r="K92" i="16" s="1"/>
  <c r="L92" i="16" s="1"/>
  <c r="M92" i="16" s="1"/>
  <c r="C93" i="16"/>
  <c r="B17" i="16"/>
  <c r="AN177" i="12" s="1"/>
  <c r="B22" i="21"/>
  <c r="B23" i="21" s="1"/>
  <c r="B27" i="21" s="1"/>
  <c r="AN174" i="12" s="1"/>
  <c r="AN180" i="12"/>
  <c r="AL36" i="26" s="1"/>
  <c r="J22" i="21"/>
  <c r="J23" i="21" s="1"/>
  <c r="J27" i="21" s="1"/>
  <c r="AV174" i="12" s="1"/>
  <c r="AT32" i="26" s="1"/>
  <c r="AV180" i="12"/>
  <c r="AT36" i="26" s="1"/>
  <c r="D26" i="22"/>
  <c r="D27" i="22" s="1"/>
  <c r="D38" i="22" s="1"/>
  <c r="R174" i="12" s="1"/>
  <c r="P32" i="26" s="1"/>
  <c r="R180" i="12"/>
  <c r="P36" i="26" s="1"/>
  <c r="H26" i="22"/>
  <c r="H27" i="22" s="1"/>
  <c r="H38" i="22" s="1"/>
  <c r="V174" i="12" s="1"/>
  <c r="T32" i="26" s="1"/>
  <c r="V180" i="12"/>
  <c r="T36" i="26" s="1"/>
  <c r="L26" i="22"/>
  <c r="L27" i="22" s="1"/>
  <c r="L38" i="22" s="1"/>
  <c r="Z174" i="12" s="1"/>
  <c r="X32" i="26" s="1"/>
  <c r="Z180" i="12"/>
  <c r="X36" i="26" s="1"/>
  <c r="F26" i="22"/>
  <c r="J26" i="22"/>
  <c r="J27" i="22" s="1"/>
  <c r="J38" i="22" s="1"/>
  <c r="X174" i="12" s="1"/>
  <c r="V32" i="26" s="1"/>
  <c r="N23" i="23"/>
  <c r="G28" i="23"/>
  <c r="G29" i="23" s="1"/>
  <c r="I174" i="12" s="1"/>
  <c r="G32" i="26" s="1"/>
  <c r="G35" i="25"/>
  <c r="N28" i="25"/>
  <c r="B94" i="16"/>
  <c r="B101" i="16" s="1"/>
  <c r="D47" i="16"/>
  <c r="C49" i="16"/>
  <c r="C43" i="17"/>
  <c r="B84" i="17"/>
  <c r="C17" i="18"/>
  <c r="C37" i="18"/>
  <c r="D177" i="12"/>
  <c r="B33" i="26" s="1"/>
  <c r="B20" i="19"/>
  <c r="B21" i="19" s="1"/>
  <c r="C89" i="20"/>
  <c r="C22" i="21"/>
  <c r="AO180" i="12"/>
  <c r="AM36" i="26" s="1"/>
  <c r="G22" i="21"/>
  <c r="G23" i="21" s="1"/>
  <c r="G27" i="21" s="1"/>
  <c r="AS174" i="12" s="1"/>
  <c r="AQ32" i="26" s="1"/>
  <c r="AS180" i="12"/>
  <c r="AQ36" i="26" s="1"/>
  <c r="K22" i="21"/>
  <c r="AW180" i="12"/>
  <c r="AU36" i="26" s="1"/>
  <c r="N19" i="21"/>
  <c r="N20" i="21"/>
  <c r="N29" i="22"/>
  <c r="M45" i="16"/>
  <c r="B71" i="17"/>
  <c r="B15" i="18"/>
  <c r="P177" i="12" s="1"/>
  <c r="N33" i="26" s="1"/>
  <c r="B75" i="18"/>
  <c r="C73" i="18"/>
  <c r="D73" i="18" s="1"/>
  <c r="E73" i="18" s="1"/>
  <c r="F73" i="18" s="1"/>
  <c r="G73" i="18" s="1"/>
  <c r="H73" i="18" s="1"/>
  <c r="I73" i="18" s="1"/>
  <c r="J73" i="18" s="1"/>
  <c r="K73" i="18" s="1"/>
  <c r="L73" i="18" s="1"/>
  <c r="M73" i="18" s="1"/>
  <c r="C78" i="18"/>
  <c r="C51" i="19"/>
  <c r="D51" i="19" s="1"/>
  <c r="E51" i="19" s="1"/>
  <c r="F51" i="19" s="1"/>
  <c r="G51" i="19" s="1"/>
  <c r="H51" i="19" s="1"/>
  <c r="I51" i="19" s="1"/>
  <c r="J51" i="19" s="1"/>
  <c r="K51" i="19" s="1"/>
  <c r="L51" i="19" s="1"/>
  <c r="M51" i="19" s="1"/>
  <c r="B53" i="19"/>
  <c r="B54" i="19" s="1"/>
  <c r="D29" i="19"/>
  <c r="D32" i="19" s="1"/>
  <c r="D34" i="19" s="1"/>
  <c r="C32" i="19"/>
  <c r="C34" i="19" s="1"/>
  <c r="C13" i="19"/>
  <c r="N23" i="25"/>
  <c r="B16" i="17"/>
  <c r="C24" i="17"/>
  <c r="G24" i="17"/>
  <c r="C33" i="17"/>
  <c r="I33" i="17"/>
  <c r="B60" i="17"/>
  <c r="C69" i="17"/>
  <c r="D69" i="17" s="1"/>
  <c r="E69" i="17" s="1"/>
  <c r="D34" i="18"/>
  <c r="I31" i="18"/>
  <c r="J31" i="18" s="1"/>
  <c r="D76" i="18"/>
  <c r="E76" i="18" s="1"/>
  <c r="F76" i="18" s="1"/>
  <c r="G13" i="19"/>
  <c r="I177" i="12" s="1"/>
  <c r="G33" i="26" s="1"/>
  <c r="D58" i="20"/>
  <c r="F22" i="21"/>
  <c r="F23" i="21" s="1"/>
  <c r="F27" i="21" s="1"/>
  <c r="AR174" i="12" s="1"/>
  <c r="AP32" i="26" s="1"/>
  <c r="N9" i="21"/>
  <c r="N33" i="22"/>
  <c r="D37" i="22"/>
  <c r="N26" i="23"/>
  <c r="N22" i="23"/>
  <c r="E28" i="23"/>
  <c r="N17" i="23"/>
  <c r="N14" i="23"/>
  <c r="J19" i="23"/>
  <c r="J20" i="23" s="1"/>
  <c r="J29" i="23" s="1"/>
  <c r="L174" i="12" s="1"/>
  <c r="J32" i="26" s="1"/>
  <c r="L180" i="12"/>
  <c r="J36" i="26" s="1"/>
  <c r="C27" i="24"/>
  <c r="C28" i="24" s="1"/>
  <c r="C36" i="24" s="1"/>
  <c r="BA174" i="12" s="1"/>
  <c r="AY32" i="26" s="1"/>
  <c r="BA180" i="12"/>
  <c r="AY36" i="26" s="1"/>
  <c r="G27" i="24"/>
  <c r="G28" i="24" s="1"/>
  <c r="G36" i="24" s="1"/>
  <c r="BE174" i="12" s="1"/>
  <c r="BC32" i="26" s="1"/>
  <c r="BE180" i="12"/>
  <c r="BC36" i="26" s="1"/>
  <c r="K27" i="24"/>
  <c r="K28" i="24" s="1"/>
  <c r="K36" i="24" s="1"/>
  <c r="BI174" i="12" s="1"/>
  <c r="BG32" i="26" s="1"/>
  <c r="L27" i="24"/>
  <c r="L28" i="24" s="1"/>
  <c r="L36" i="24" s="1"/>
  <c r="BJ174" i="12" s="1"/>
  <c r="BH32" i="26" s="1"/>
  <c r="E25" i="25"/>
  <c r="E26" i="25" s="1"/>
  <c r="E36" i="25" s="1"/>
  <c r="AE174" i="12" s="1"/>
  <c r="AC32" i="26" s="1"/>
  <c r="I25" i="25"/>
  <c r="AI180" i="12"/>
  <c r="AG36" i="26" s="1"/>
  <c r="M25" i="25"/>
  <c r="M26" i="25" s="1"/>
  <c r="M36" i="25" s="1"/>
  <c r="AM174" i="12" s="1"/>
  <c r="AK32" i="26" s="1"/>
  <c r="N15" i="24"/>
  <c r="N16" i="24"/>
  <c r="G26" i="25"/>
  <c r="G36" i="25" s="1"/>
  <c r="AG174" i="12" s="1"/>
  <c r="AE32" i="26" s="1"/>
  <c r="B25" i="25"/>
  <c r="B26" i="25" s="1"/>
  <c r="AB180" i="12"/>
  <c r="Z36" i="26" s="1"/>
  <c r="F25" i="25"/>
  <c r="F26" i="25" s="1"/>
  <c r="F36" i="25" s="1"/>
  <c r="AF174" i="12" s="1"/>
  <c r="AD32" i="26" s="1"/>
  <c r="AF180" i="12"/>
  <c r="AD36" i="26" s="1"/>
  <c r="J25" i="25"/>
  <c r="J26" i="25" s="1"/>
  <c r="J36" i="25" s="1"/>
  <c r="AJ174" i="12" s="1"/>
  <c r="AH32" i="26" s="1"/>
  <c r="AJ180" i="12"/>
  <c r="AH36" i="26" s="1"/>
  <c r="N18" i="25"/>
  <c r="B35" i="25"/>
  <c r="D40" i="19"/>
  <c r="C17" i="20"/>
  <c r="BA177" i="12" s="1"/>
  <c r="AY33" i="26" s="1"/>
  <c r="G17" i="20"/>
  <c r="BE177" i="12" s="1"/>
  <c r="BC33" i="26" s="1"/>
  <c r="K17" i="20"/>
  <c r="BI177" i="12" s="1"/>
  <c r="BG33" i="26" s="1"/>
  <c r="H56" i="20"/>
  <c r="D77" i="20"/>
  <c r="B88" i="20"/>
  <c r="D22" i="21"/>
  <c r="H22" i="21"/>
  <c r="H23" i="21" s="1"/>
  <c r="H27" i="21" s="1"/>
  <c r="AT174" i="12" s="1"/>
  <c r="AR32" i="26" s="1"/>
  <c r="L22" i="21"/>
  <c r="N9" i="22"/>
  <c r="P180" i="12"/>
  <c r="N36" i="26" s="1"/>
  <c r="B26" i="22"/>
  <c r="B27" i="22" s="1"/>
  <c r="N11" i="22"/>
  <c r="N12" i="22"/>
  <c r="N13" i="22"/>
  <c r="N14" i="22"/>
  <c r="N21" i="22"/>
  <c r="N22" i="22"/>
  <c r="N13" i="23"/>
  <c r="K19" i="23"/>
  <c r="K20" i="23" s="1"/>
  <c r="K29" i="23" s="1"/>
  <c r="M174" i="12" s="1"/>
  <c r="K32" i="26" s="1"/>
  <c r="M180" i="12"/>
  <c r="K36" i="26" s="1"/>
  <c r="N9" i="23"/>
  <c r="C19" i="23"/>
  <c r="C20" i="23" s="1"/>
  <c r="C29" i="23" s="1"/>
  <c r="E174" i="12" s="1"/>
  <c r="C32" i="26" s="1"/>
  <c r="E180" i="12"/>
  <c r="C36" i="26" s="1"/>
  <c r="N9" i="24"/>
  <c r="AZ180" i="12"/>
  <c r="AX36" i="26" s="1"/>
  <c r="F27" i="24"/>
  <c r="F28" i="24" s="1"/>
  <c r="F36" i="24" s="1"/>
  <c r="BD174" i="12" s="1"/>
  <c r="BB32" i="26" s="1"/>
  <c r="BD180" i="12"/>
  <c r="BB36" i="26" s="1"/>
  <c r="J27" i="24"/>
  <c r="J28" i="24" s="1"/>
  <c r="J36" i="24" s="1"/>
  <c r="BH174" i="12" s="1"/>
  <c r="BF32" i="26" s="1"/>
  <c r="BH180" i="12"/>
  <c r="BF36" i="26" s="1"/>
  <c r="N10" i="24"/>
  <c r="N17" i="24"/>
  <c r="N19" i="24"/>
  <c r="C25" i="25"/>
  <c r="C26" i="25" s="1"/>
  <c r="C36" i="25" s="1"/>
  <c r="AC174" i="12" s="1"/>
  <c r="AA32" i="26" s="1"/>
  <c r="N12" i="25"/>
  <c r="N17" i="25"/>
  <c r="N29" i="25"/>
  <c r="AX180" i="12"/>
  <c r="AV36" i="26" s="1"/>
  <c r="AP180" i="12"/>
  <c r="AN36" i="26" s="1"/>
  <c r="L23" i="21"/>
  <c r="L27" i="21" s="1"/>
  <c r="AX174" i="12" s="1"/>
  <c r="AV32" i="26" s="1"/>
  <c r="E22" i="21"/>
  <c r="I22" i="21"/>
  <c r="I23" i="21" s="1"/>
  <c r="I27" i="21" s="1"/>
  <c r="AU174" i="12" s="1"/>
  <c r="AS32" i="26" s="1"/>
  <c r="M22" i="21"/>
  <c r="N14" i="21"/>
  <c r="N15" i="21"/>
  <c r="N16" i="21"/>
  <c r="N18" i="21"/>
  <c r="C26" i="22"/>
  <c r="C27" i="22" s="1"/>
  <c r="C38" i="22" s="1"/>
  <c r="Q174" i="12" s="1"/>
  <c r="O32" i="26" s="1"/>
  <c r="G26" i="22"/>
  <c r="G27" i="22" s="1"/>
  <c r="G38" i="22" s="1"/>
  <c r="U174" i="12" s="1"/>
  <c r="S32" i="26" s="1"/>
  <c r="K26" i="22"/>
  <c r="K27" i="22" s="1"/>
  <c r="K38" i="22" s="1"/>
  <c r="Y174" i="12" s="1"/>
  <c r="W32" i="26" s="1"/>
  <c r="N17" i="22"/>
  <c r="I26" i="22"/>
  <c r="I27" i="22" s="1"/>
  <c r="I38" i="22" s="1"/>
  <c r="W174" i="12" s="1"/>
  <c r="U32" i="26" s="1"/>
  <c r="M26" i="22"/>
  <c r="M27" i="22" s="1"/>
  <c r="M38" i="22" s="1"/>
  <c r="AA174" i="12" s="1"/>
  <c r="Y32" i="26" s="1"/>
  <c r="I19" i="23"/>
  <c r="I20" i="23" s="1"/>
  <c r="I29" i="23" s="1"/>
  <c r="K174" i="12" s="1"/>
  <c r="N11" i="23"/>
  <c r="N12" i="24"/>
  <c r="N13" i="24"/>
  <c r="N20" i="24"/>
  <c r="N21" i="24"/>
  <c r="N22" i="24"/>
  <c r="I26" i="25"/>
  <c r="I36" i="25" s="1"/>
  <c r="AI174" i="12" s="1"/>
  <c r="AG32" i="26" s="1"/>
  <c r="D25" i="25"/>
  <c r="N25" i="25" s="1"/>
  <c r="H25" i="25"/>
  <c r="L25" i="25"/>
  <c r="AU180" i="12"/>
  <c r="AS36" i="26" s="1"/>
  <c r="AQ180" i="12"/>
  <c r="AO36" i="26" s="1"/>
  <c r="E27" i="1"/>
  <c r="AO25" i="12"/>
  <c r="AW25" i="12"/>
  <c r="K17" i="26"/>
  <c r="G17" i="26"/>
  <c r="C17" i="26"/>
  <c r="BB17" i="26"/>
  <c r="J17" i="26"/>
  <c r="F17" i="26"/>
  <c r="B17" i="26"/>
  <c r="G112" i="12"/>
  <c r="E17" i="26"/>
  <c r="K112" i="12"/>
  <c r="I17" i="26"/>
  <c r="BF22" i="12"/>
  <c r="BG23" i="12" s="1"/>
  <c r="BD17" i="26"/>
  <c r="AJ22" i="12"/>
  <c r="AJ25" i="12" s="1"/>
  <c r="AH17" i="26"/>
  <c r="AR22" i="12"/>
  <c r="AP17" i="26"/>
  <c r="O112" i="12"/>
  <c r="M17" i="26"/>
  <c r="AV22" i="12"/>
  <c r="AV25" i="12" s="1"/>
  <c r="AT17" i="26"/>
  <c r="J33" i="26"/>
  <c r="L178" i="12"/>
  <c r="AL33" i="26"/>
  <c r="AX33" i="26"/>
  <c r="BB33" i="26"/>
  <c r="J112" i="12"/>
  <c r="J178" i="12"/>
  <c r="K13" i="26"/>
  <c r="AM17" i="26"/>
  <c r="AQ17" i="26"/>
  <c r="AU17" i="26"/>
  <c r="AY17" i="26"/>
  <c r="N112" i="12"/>
  <c r="F112" i="12"/>
  <c r="M112" i="12"/>
  <c r="I112" i="12"/>
  <c r="E112" i="12"/>
  <c r="BA178" i="12"/>
  <c r="AJ17" i="26"/>
  <c r="D17" i="26"/>
  <c r="H17" i="26"/>
  <c r="L17" i="26"/>
  <c r="L112" i="12"/>
  <c r="H112" i="12"/>
  <c r="D112" i="12"/>
  <c r="AG17" i="26"/>
  <c r="AK17" i="26"/>
  <c r="BA17" i="26"/>
  <c r="BE17" i="26"/>
  <c r="F9" i="26"/>
  <c r="E9" i="1"/>
  <c r="C9" i="1"/>
  <c r="Z9" i="26"/>
  <c r="BF21" i="12"/>
  <c r="BB21" i="12"/>
  <c r="AX21" i="12"/>
  <c r="AT21" i="12"/>
  <c r="AP21" i="12"/>
  <c r="AL21" i="12"/>
  <c r="BF20" i="12"/>
  <c r="BB20" i="12"/>
  <c r="AX20" i="12"/>
  <c r="AT20" i="12"/>
  <c r="AP20" i="12"/>
  <c r="AL20" i="12"/>
  <c r="D26" i="25"/>
  <c r="D36" i="25" s="1"/>
  <c r="AD174" i="12" s="1"/>
  <c r="AB32" i="26" s="1"/>
  <c r="H26" i="25"/>
  <c r="H36" i="25" s="1"/>
  <c r="AH174" i="12" s="1"/>
  <c r="AF32" i="26" s="1"/>
  <c r="L26" i="25"/>
  <c r="L36" i="25" s="1"/>
  <c r="AL174" i="12" s="1"/>
  <c r="AJ32" i="26" s="1"/>
  <c r="N9" i="25"/>
  <c r="E28" i="24"/>
  <c r="E36" i="24" s="1"/>
  <c r="BC174" i="12" s="1"/>
  <c r="BA32" i="26" s="1"/>
  <c r="M28" i="24"/>
  <c r="M36" i="24" s="1"/>
  <c r="I32" i="24"/>
  <c r="N32" i="24" s="1"/>
  <c r="N7" i="24"/>
  <c r="N34" i="24"/>
  <c r="B27" i="24"/>
  <c r="M28" i="23"/>
  <c r="B19" i="23"/>
  <c r="D28" i="23"/>
  <c r="M19" i="23"/>
  <c r="M20" i="23" s="1"/>
  <c r="E19" i="23"/>
  <c r="E20" i="23" s="1"/>
  <c r="E29" i="23" s="1"/>
  <c r="G174" i="12" s="1"/>
  <c r="E32" i="26" s="1"/>
  <c r="N12" i="23"/>
  <c r="F27" i="22"/>
  <c r="F38" i="22" s="1"/>
  <c r="T174" i="12" s="1"/>
  <c r="R32" i="26" s="1"/>
  <c r="N10" i="22"/>
  <c r="E26" i="22"/>
  <c r="N7" i="22"/>
  <c r="N31" i="22"/>
  <c r="N34" i="22"/>
  <c r="B37" i="22"/>
  <c r="N37" i="22" s="1"/>
  <c r="C23" i="21"/>
  <c r="C27" i="21" s="1"/>
  <c r="AO174" i="12" s="1"/>
  <c r="AM32" i="26" s="1"/>
  <c r="K23" i="21"/>
  <c r="K27" i="21" s="1"/>
  <c r="AW174" i="12" s="1"/>
  <c r="AU32" i="26" s="1"/>
  <c r="N26" i="21"/>
  <c r="E23" i="21"/>
  <c r="E27" i="21" s="1"/>
  <c r="AQ174" i="12" s="1"/>
  <c r="AO32" i="26" s="1"/>
  <c r="M23" i="21"/>
  <c r="M27" i="21" s="1"/>
  <c r="AY174" i="12" s="1"/>
  <c r="AW32" i="26" s="1"/>
  <c r="N25" i="21"/>
  <c r="N7" i="21"/>
  <c r="N10" i="21"/>
  <c r="F40" i="20"/>
  <c r="G40" i="20" s="1"/>
  <c r="H40" i="20" s="1"/>
  <c r="I40" i="20" s="1"/>
  <c r="J40" i="20" s="1"/>
  <c r="K40" i="20" s="1"/>
  <c r="L40" i="20" s="1"/>
  <c r="M40" i="20" s="1"/>
  <c r="M41" i="20" s="1"/>
  <c r="E41" i="20"/>
  <c r="D19" i="20"/>
  <c r="C20" i="20"/>
  <c r="C27" i="20" s="1"/>
  <c r="C34" i="20" s="1"/>
  <c r="J17" i="20"/>
  <c r="BH177" i="12" s="1"/>
  <c r="BI178" i="12" s="1"/>
  <c r="L41" i="20"/>
  <c r="B57" i="20"/>
  <c r="B62" i="20" s="1"/>
  <c r="C44" i="20"/>
  <c r="K54" i="20"/>
  <c r="J56" i="20"/>
  <c r="C71" i="20"/>
  <c r="D69" i="20"/>
  <c r="D22" i="20"/>
  <c r="C26" i="20"/>
  <c r="D64" i="20"/>
  <c r="G73" i="20"/>
  <c r="F77" i="20"/>
  <c r="D17" i="20"/>
  <c r="BB177" i="12" s="1"/>
  <c r="AZ33" i="26" s="1"/>
  <c r="H17" i="20"/>
  <c r="BF177" i="12" s="1"/>
  <c r="BD33" i="26" s="1"/>
  <c r="L17" i="20"/>
  <c r="BJ177" i="12" s="1"/>
  <c r="BH33" i="26" s="1"/>
  <c r="C31" i="20"/>
  <c r="C33" i="20" s="1"/>
  <c r="D29" i="20"/>
  <c r="F41" i="20"/>
  <c r="M77" i="20"/>
  <c r="E77" i="20"/>
  <c r="D96" i="20"/>
  <c r="B85" i="20"/>
  <c r="C83" i="20"/>
  <c r="E17" i="20"/>
  <c r="BC177" i="12" s="1"/>
  <c r="BA33" i="26" s="1"/>
  <c r="I17" i="20"/>
  <c r="BG177" i="12" s="1"/>
  <c r="BE33" i="26" s="1"/>
  <c r="M17" i="20"/>
  <c r="BK177" i="12" s="1"/>
  <c r="C41" i="20"/>
  <c r="G41" i="20"/>
  <c r="K41" i="20"/>
  <c r="I56" i="20"/>
  <c r="D89" i="20"/>
  <c r="C91" i="20"/>
  <c r="D43" i="20"/>
  <c r="D102" i="20"/>
  <c r="E99" i="20"/>
  <c r="B77" i="20"/>
  <c r="E86" i="20"/>
  <c r="D88" i="20"/>
  <c r="E98" i="20"/>
  <c r="B105" i="20"/>
  <c r="B71" i="20"/>
  <c r="B79" i="20" s="1"/>
  <c r="B80" i="20" s="1"/>
  <c r="C77" i="20"/>
  <c r="D82" i="20"/>
  <c r="E103" i="20"/>
  <c r="D105" i="20"/>
  <c r="B102" i="20"/>
  <c r="C105" i="20"/>
  <c r="C102" i="20"/>
  <c r="C106" i="20" s="1"/>
  <c r="C113" i="20" s="1"/>
  <c r="K10" i="19"/>
  <c r="J13" i="19"/>
  <c r="L177" i="12" s="1"/>
  <c r="H59" i="19"/>
  <c r="C65" i="19"/>
  <c r="D64" i="19"/>
  <c r="D65" i="19" s="1"/>
  <c r="K58" i="19"/>
  <c r="G65" i="19"/>
  <c r="H63" i="19"/>
  <c r="J37" i="19"/>
  <c r="I13" i="19"/>
  <c r="K177" i="12" s="1"/>
  <c r="I33" i="26" s="1"/>
  <c r="D50" i="19"/>
  <c r="B45" i="19"/>
  <c r="B47" i="19" s="1"/>
  <c r="B48" i="19" s="1"/>
  <c r="B55" i="19" s="1"/>
  <c r="C45" i="19"/>
  <c r="C47" i="19" s="1"/>
  <c r="C48" i="19" s="1"/>
  <c r="D42" i="19"/>
  <c r="F40" i="19"/>
  <c r="G38" i="19"/>
  <c r="E36" i="19"/>
  <c r="C62" i="19"/>
  <c r="E27" i="19"/>
  <c r="F26" i="19"/>
  <c r="D16" i="19"/>
  <c r="E15" i="19"/>
  <c r="F41" i="19"/>
  <c r="E29" i="19"/>
  <c r="D13" i="19"/>
  <c r="E10" i="19"/>
  <c r="F10" i="19" s="1"/>
  <c r="F13" i="19" s="1"/>
  <c r="H177" i="12" s="1"/>
  <c r="F33" i="26" s="1"/>
  <c r="H44" i="18"/>
  <c r="I44" i="18" s="1"/>
  <c r="J44" i="18" s="1"/>
  <c r="K44" i="18" s="1"/>
  <c r="L44" i="18" s="1"/>
  <c r="M44" i="18" s="1"/>
  <c r="G28" i="18"/>
  <c r="G29" i="18" s="1"/>
  <c r="F29" i="18"/>
  <c r="K31" i="18"/>
  <c r="J34" i="18"/>
  <c r="G45" i="18"/>
  <c r="F47" i="18"/>
  <c r="J59" i="18"/>
  <c r="I61" i="18"/>
  <c r="E15" i="18"/>
  <c r="E35" i="18"/>
  <c r="D37" i="18"/>
  <c r="D39" i="18" s="1"/>
  <c r="L41" i="18"/>
  <c r="I62" i="18"/>
  <c r="H64" i="18"/>
  <c r="F15" i="18"/>
  <c r="T177" i="12" s="1"/>
  <c r="G9" i="18"/>
  <c r="K28" i="18"/>
  <c r="K29" i="18" s="1"/>
  <c r="J29" i="18"/>
  <c r="D53" i="18"/>
  <c r="D72" i="18"/>
  <c r="C75" i="18"/>
  <c r="C79" i="18" s="1"/>
  <c r="C84" i="18" s="1"/>
  <c r="C15" i="18"/>
  <c r="I34" i="18"/>
  <c r="E49" i="18"/>
  <c r="C53" i="18"/>
  <c r="C55" i="18" s="1"/>
  <c r="H61" i="18"/>
  <c r="E29" i="18"/>
  <c r="I29" i="18"/>
  <c r="D55" i="18"/>
  <c r="E47" i="18"/>
  <c r="C61" i="18"/>
  <c r="C66" i="18" s="1"/>
  <c r="C67" i="18" s="1"/>
  <c r="D70" i="18"/>
  <c r="C34" i="18"/>
  <c r="C39" i="18" s="1"/>
  <c r="G34" i="18"/>
  <c r="E58" i="18"/>
  <c r="E61" i="18"/>
  <c r="E78" i="18"/>
  <c r="B55" i="18"/>
  <c r="B56" i="18" s="1"/>
  <c r="G61" i="18"/>
  <c r="D61" i="18"/>
  <c r="D62" i="18"/>
  <c r="D78" i="18"/>
  <c r="B61" i="18"/>
  <c r="F61" i="18"/>
  <c r="B64" i="18"/>
  <c r="D71" i="18"/>
  <c r="B78" i="18"/>
  <c r="B79" i="18" s="1"/>
  <c r="B84" i="18" s="1"/>
  <c r="J23" i="17"/>
  <c r="K23" i="17" s="1"/>
  <c r="L23" i="17" s="1"/>
  <c r="M23" i="17" s="1"/>
  <c r="M24" i="17" s="1"/>
  <c r="I24" i="17"/>
  <c r="K16" i="17"/>
  <c r="AK177" i="12" s="1"/>
  <c r="AI33" i="26" s="1"/>
  <c r="F23" i="17"/>
  <c r="E24" i="17"/>
  <c r="K32" i="17"/>
  <c r="L32" i="17" s="1"/>
  <c r="M32" i="17" s="1"/>
  <c r="M33" i="17" s="1"/>
  <c r="J33" i="17"/>
  <c r="K24" i="17"/>
  <c r="D57" i="17"/>
  <c r="E57" i="17" s="1"/>
  <c r="F57" i="17" s="1"/>
  <c r="G57" i="17" s="1"/>
  <c r="H57" i="17" s="1"/>
  <c r="I57" i="17" s="1"/>
  <c r="J57" i="17" s="1"/>
  <c r="K57" i="17" s="1"/>
  <c r="L57" i="17" s="1"/>
  <c r="M57" i="17" s="1"/>
  <c r="C60" i="17"/>
  <c r="D87" i="17"/>
  <c r="E86" i="17"/>
  <c r="F86" i="17" s="1"/>
  <c r="G86" i="17" s="1"/>
  <c r="H86" i="17" s="1"/>
  <c r="I86" i="17" s="1"/>
  <c r="J86" i="17" s="1"/>
  <c r="K86" i="17" s="1"/>
  <c r="L86" i="17" s="1"/>
  <c r="M86" i="17" s="1"/>
  <c r="C10" i="17"/>
  <c r="C16" i="17" s="1"/>
  <c r="E18" i="17"/>
  <c r="D19" i="17"/>
  <c r="D24" i="17"/>
  <c r="H24" i="17"/>
  <c r="L24" i="17"/>
  <c r="D16" i="17"/>
  <c r="AD177" i="12" s="1"/>
  <c r="AB33" i="26" s="1"/>
  <c r="H16" i="17"/>
  <c r="AH177" i="12" s="1"/>
  <c r="AF33" i="26" s="1"/>
  <c r="L16" i="17"/>
  <c r="AL177" i="12" s="1"/>
  <c r="AJ33" i="26" s="1"/>
  <c r="D52" i="17"/>
  <c r="C54" i="17"/>
  <c r="E9" i="17"/>
  <c r="I9" i="17"/>
  <c r="M16" i="17"/>
  <c r="AM177" i="12" s="1"/>
  <c r="AK33" i="26" s="1"/>
  <c r="E37" i="1" s="1"/>
  <c r="F24" i="17"/>
  <c r="J24" i="17"/>
  <c r="H33" i="17"/>
  <c r="B40" i="17"/>
  <c r="B45" i="17" s="1"/>
  <c r="C35" i="17"/>
  <c r="D70" i="17"/>
  <c r="E70" i="17" s="1"/>
  <c r="F70" i="17" s="1"/>
  <c r="G70" i="17" s="1"/>
  <c r="H70" i="17" s="1"/>
  <c r="I70" i="17" s="1"/>
  <c r="J70" i="17" s="1"/>
  <c r="K70" i="17" s="1"/>
  <c r="L70" i="17" s="1"/>
  <c r="M70" i="17" s="1"/>
  <c r="C71" i="17"/>
  <c r="B54" i="17"/>
  <c r="B74" i="17"/>
  <c r="B75" i="17" s="1"/>
  <c r="B76" i="17" s="1"/>
  <c r="C72" i="17"/>
  <c r="D33" i="17"/>
  <c r="C47" i="17"/>
  <c r="H72" i="17"/>
  <c r="G74" i="17"/>
  <c r="D84" i="17"/>
  <c r="E81" i="17"/>
  <c r="F85" i="17"/>
  <c r="F56" i="17"/>
  <c r="E60" i="17"/>
  <c r="D66" i="17"/>
  <c r="C68" i="17"/>
  <c r="D79" i="17"/>
  <c r="E80" i="17"/>
  <c r="C87" i="17"/>
  <c r="C88" i="17" s="1"/>
  <c r="C95" i="17" s="1"/>
  <c r="E65" i="17"/>
  <c r="B87" i="17"/>
  <c r="B88" i="17" s="1"/>
  <c r="B95" i="17" s="1"/>
  <c r="B81" i="16"/>
  <c r="B82" i="16" s="1"/>
  <c r="D93" i="16"/>
  <c r="E91" i="16"/>
  <c r="G85" i="16"/>
  <c r="K71" i="16"/>
  <c r="E66" i="16"/>
  <c r="F64" i="16"/>
  <c r="G64" i="16" s="1"/>
  <c r="H64" i="16" s="1"/>
  <c r="I64" i="16" s="1"/>
  <c r="J64" i="16" s="1"/>
  <c r="K64" i="16" s="1"/>
  <c r="L64" i="16" s="1"/>
  <c r="M64" i="16" s="1"/>
  <c r="C90" i="16"/>
  <c r="C94" i="16" s="1"/>
  <c r="C101" i="16" s="1"/>
  <c r="G86" i="16"/>
  <c r="D90" i="16"/>
  <c r="D94" i="16" s="1"/>
  <c r="D101" i="16" s="1"/>
  <c r="H80" i="16"/>
  <c r="F80" i="16"/>
  <c r="C66" i="16"/>
  <c r="D66" i="16"/>
  <c r="D57" i="16"/>
  <c r="E57" i="16" s="1"/>
  <c r="F57" i="16" s="1"/>
  <c r="G57" i="16" s="1"/>
  <c r="H57" i="16" s="1"/>
  <c r="I57" i="16" s="1"/>
  <c r="J57" i="16" s="1"/>
  <c r="K57" i="16" s="1"/>
  <c r="L57" i="16" s="1"/>
  <c r="M57" i="16" s="1"/>
  <c r="I53" i="16"/>
  <c r="C17" i="16"/>
  <c r="D10" i="16"/>
  <c r="G80" i="16"/>
  <c r="E80" i="16"/>
  <c r="E75" i="16"/>
  <c r="B66" i="16"/>
  <c r="B68" i="16" s="1"/>
  <c r="D49" i="16"/>
  <c r="E47" i="16"/>
  <c r="C26" i="16"/>
  <c r="D25" i="16"/>
  <c r="E25" i="16" s="1"/>
  <c r="F25" i="16" s="1"/>
  <c r="G25" i="16" s="1"/>
  <c r="H25" i="16" s="1"/>
  <c r="I25" i="16" s="1"/>
  <c r="J25" i="16" s="1"/>
  <c r="K25" i="16" s="1"/>
  <c r="L25" i="16" s="1"/>
  <c r="M25" i="16" s="1"/>
  <c r="B26" i="16"/>
  <c r="B27" i="16" s="1"/>
  <c r="B28" i="16" s="1"/>
  <c r="C20" i="16"/>
  <c r="D19" i="16"/>
  <c r="E90" i="16"/>
  <c r="I80" i="16"/>
  <c r="E22" i="16"/>
  <c r="F87" i="16"/>
  <c r="D80" i="16"/>
  <c r="J78" i="16"/>
  <c r="D72" i="16"/>
  <c r="G62" i="16"/>
  <c r="C37" i="16"/>
  <c r="B46" i="16"/>
  <c r="B51" i="16" s="1"/>
  <c r="C35" i="16"/>
  <c r="D34" i="16"/>
  <c r="B35" i="16"/>
  <c r="D58" i="16"/>
  <c r="C60" i="16"/>
  <c r="C68" i="16" s="1"/>
  <c r="F45" i="16"/>
  <c r="G44" i="16"/>
  <c r="H44" i="16" s="1"/>
  <c r="G45" i="16"/>
  <c r="H22" i="16"/>
  <c r="BD21" i="12"/>
  <c r="AZ21" i="12"/>
  <c r="AV21" i="12"/>
  <c r="AR21" i="12"/>
  <c r="AN21" i="12"/>
  <c r="AJ21" i="12"/>
  <c r="BD20" i="12"/>
  <c r="AZ20" i="12"/>
  <c r="AV20" i="12"/>
  <c r="AR20" i="12"/>
  <c r="AN20" i="12"/>
  <c r="AJ20" i="12"/>
  <c r="AG20" i="12"/>
  <c r="BG21" i="12"/>
  <c r="BC21" i="12"/>
  <c r="AY21" i="12"/>
  <c r="AU21" i="12"/>
  <c r="AQ21" i="12"/>
  <c r="AM21" i="12"/>
  <c r="BG20" i="12"/>
  <c r="BC20" i="12"/>
  <c r="AY20" i="12"/>
  <c r="AU20" i="12"/>
  <c r="AQ20" i="12"/>
  <c r="AM20" i="12"/>
  <c r="AI25" i="12"/>
  <c r="AH20" i="12"/>
  <c r="AI21" i="12"/>
  <c r="BE21" i="12"/>
  <c r="BA21" i="12"/>
  <c r="AW21" i="12"/>
  <c r="AS21" i="12"/>
  <c r="AO21" i="12"/>
  <c r="AK21" i="12"/>
  <c r="BE20" i="12"/>
  <c r="BA20" i="12"/>
  <c r="AW20" i="12"/>
  <c r="AS20" i="12"/>
  <c r="AO20" i="12"/>
  <c r="AK20" i="12"/>
  <c r="AL25" i="12"/>
  <c r="AI20" i="12"/>
  <c r="AJ23" i="12"/>
  <c r="AR25" i="12"/>
  <c r="BD23" i="12"/>
  <c r="BD25" i="12"/>
  <c r="AM25" i="12"/>
  <c r="AM23" i="12"/>
  <c r="BG25" i="12"/>
  <c r="BC25" i="12"/>
  <c r="BF23" i="12"/>
  <c r="AW23" i="12"/>
  <c r="AS23" i="12"/>
  <c r="N9" i="10"/>
  <c r="N11" i="10"/>
  <c r="N29" i="10"/>
  <c r="B72" i="10"/>
  <c r="AZ112" i="12" s="1"/>
  <c r="AZ22" i="12" s="1"/>
  <c r="AZ25" i="12" s="1"/>
  <c r="N61" i="10"/>
  <c r="N7" i="10"/>
  <c r="N25" i="10"/>
  <c r="E38" i="10"/>
  <c r="I38" i="10"/>
  <c r="N37" i="10"/>
  <c r="N43" i="10"/>
  <c r="N47" i="10"/>
  <c r="N50" i="10"/>
  <c r="N51" i="10"/>
  <c r="N52" i="10"/>
  <c r="N58" i="10"/>
  <c r="J72" i="10"/>
  <c r="BH112" i="12" s="1"/>
  <c r="N69" i="10"/>
  <c r="N78" i="10"/>
  <c r="N102" i="10"/>
  <c r="B59" i="10"/>
  <c r="AZ91" i="12" s="1"/>
  <c r="AX16" i="26" s="1"/>
  <c r="N40" i="10"/>
  <c r="M92" i="10"/>
  <c r="N89" i="10"/>
  <c r="N27" i="10"/>
  <c r="N55" i="10"/>
  <c r="N56" i="10"/>
  <c r="N67" i="10"/>
  <c r="N80" i="10"/>
  <c r="N84" i="10"/>
  <c r="N87" i="10"/>
  <c r="N88" i="10"/>
  <c r="N90" i="10"/>
  <c r="N95" i="10"/>
  <c r="N14" i="10"/>
  <c r="M38" i="10"/>
  <c r="M48" i="10"/>
  <c r="BK79" i="12" s="1"/>
  <c r="H48" i="10"/>
  <c r="D93" i="10"/>
  <c r="H93" i="10"/>
  <c r="BF134" i="12" s="1"/>
  <c r="L93" i="10"/>
  <c r="N108" i="10"/>
  <c r="B110" i="10"/>
  <c r="B111" i="10" s="1"/>
  <c r="AZ170" i="12" s="1"/>
  <c r="AX28" i="26" s="1"/>
  <c r="N35" i="10"/>
  <c r="B82" i="10"/>
  <c r="AZ126" i="12" s="1"/>
  <c r="N107" i="10"/>
  <c r="N62" i="10"/>
  <c r="C15" i="9"/>
  <c r="E48" i="12" s="1"/>
  <c r="E49" i="12" s="1"/>
  <c r="N8" i="9"/>
  <c r="I15" i="9"/>
  <c r="K48" i="12" s="1"/>
  <c r="K49" i="12" s="1"/>
  <c r="M15" i="9"/>
  <c r="O48" i="12" s="1"/>
  <c r="O49" i="12" s="1"/>
  <c r="N14" i="9"/>
  <c r="N10" i="9"/>
  <c r="B37" i="9"/>
  <c r="N38" i="9"/>
  <c r="N7" i="9"/>
  <c r="B15" i="9"/>
  <c r="D48" i="12" s="1"/>
  <c r="D49" i="12" s="1"/>
  <c r="J15" i="9"/>
  <c r="D37" i="9"/>
  <c r="H37" i="9"/>
  <c r="L37" i="9"/>
  <c r="M64" i="9"/>
  <c r="N63" i="9"/>
  <c r="E72" i="9"/>
  <c r="G170" i="12" s="1"/>
  <c r="E28" i="26" s="1"/>
  <c r="N68" i="9"/>
  <c r="N19" i="9"/>
  <c r="E37" i="9"/>
  <c r="G91" i="12" s="1"/>
  <c r="E16" i="26" s="1"/>
  <c r="I37" i="9"/>
  <c r="M37" i="9"/>
  <c r="C37" i="9"/>
  <c r="G37" i="9"/>
  <c r="K37" i="9"/>
  <c r="N24" i="9"/>
  <c r="N48" i="9"/>
  <c r="B51" i="9"/>
  <c r="D134" i="12" s="1"/>
  <c r="N49" i="9"/>
  <c r="F58" i="9"/>
  <c r="F60" i="9" s="1"/>
  <c r="N54" i="9"/>
  <c r="N55" i="9"/>
  <c r="N56" i="9"/>
  <c r="N31" i="9"/>
  <c r="N47" i="9"/>
  <c r="B69" i="9"/>
  <c r="D166" i="12" s="1"/>
  <c r="K18" i="8"/>
  <c r="Y48" i="12" s="1"/>
  <c r="W13" i="26" s="1"/>
  <c r="W14" i="26" s="1"/>
  <c r="D18" i="8"/>
  <c r="R48" i="12" s="1"/>
  <c r="P13" i="26" s="1"/>
  <c r="P14" i="26" s="1"/>
  <c r="B9" i="8"/>
  <c r="P31" i="12" s="1"/>
  <c r="N13" i="8"/>
  <c r="G14" i="8"/>
  <c r="N15" i="8"/>
  <c r="C41" i="8"/>
  <c r="Q91" i="12" s="1"/>
  <c r="O16" i="26" s="1"/>
  <c r="G41" i="8"/>
  <c r="U91" i="12" s="1"/>
  <c r="S16" i="26" s="1"/>
  <c r="K41" i="8"/>
  <c r="Y91" i="12" s="1"/>
  <c r="W16" i="26" s="1"/>
  <c r="N27" i="8"/>
  <c r="N26" i="8"/>
  <c r="N33" i="8"/>
  <c r="N36" i="8"/>
  <c r="D63" i="8"/>
  <c r="C73" i="8"/>
  <c r="N78" i="8"/>
  <c r="B41" i="8"/>
  <c r="P91" i="12" s="1"/>
  <c r="N16" i="26" s="1"/>
  <c r="N16" i="8"/>
  <c r="N20" i="8"/>
  <c r="D41" i="8"/>
  <c r="R91" i="12" s="1"/>
  <c r="P16" i="26" s="1"/>
  <c r="H41" i="8"/>
  <c r="V91" i="12" s="1"/>
  <c r="T16" i="26" s="1"/>
  <c r="L41" i="8"/>
  <c r="J31" i="8"/>
  <c r="N29" i="8"/>
  <c r="N38" i="8"/>
  <c r="N44" i="8"/>
  <c r="F64" i="8"/>
  <c r="N51" i="8"/>
  <c r="K63" i="8"/>
  <c r="Y134" i="12" s="1"/>
  <c r="G63" i="8"/>
  <c r="E58" i="8"/>
  <c r="E63" i="8" s="1"/>
  <c r="N57" i="8"/>
  <c r="N69" i="8"/>
  <c r="I17" i="8"/>
  <c r="M17" i="8"/>
  <c r="AA46" i="12" s="1"/>
  <c r="Y11" i="26" s="1"/>
  <c r="I41" i="8"/>
  <c r="M41" i="8"/>
  <c r="N24" i="8"/>
  <c r="M48" i="8"/>
  <c r="AA112" i="12" s="1"/>
  <c r="Y17" i="26" s="1"/>
  <c r="N45" i="8"/>
  <c r="N46" i="8"/>
  <c r="N53" i="8"/>
  <c r="H63" i="8"/>
  <c r="V134" i="12" s="1"/>
  <c r="N70" i="8"/>
  <c r="N71" i="8"/>
  <c r="N72" i="8"/>
  <c r="N84" i="8"/>
  <c r="N11" i="8"/>
  <c r="N30" i="8"/>
  <c r="N43" i="8"/>
  <c r="N50" i="8"/>
  <c r="B79" i="8"/>
  <c r="P157" i="12" s="1"/>
  <c r="N24" i="26" s="1"/>
  <c r="B86" i="8"/>
  <c r="P166" i="12" s="1"/>
  <c r="N25" i="8"/>
  <c r="N37" i="8"/>
  <c r="N47" i="8"/>
  <c r="N35" i="7"/>
  <c r="N73" i="7"/>
  <c r="E52" i="7"/>
  <c r="AE91" i="12" s="1"/>
  <c r="AC16" i="26" s="1"/>
  <c r="I52" i="7"/>
  <c r="AI91" i="12" s="1"/>
  <c r="AG16" i="26" s="1"/>
  <c r="M52" i="7"/>
  <c r="AM91" i="12" s="1"/>
  <c r="AK16" i="26" s="1"/>
  <c r="C33" i="7"/>
  <c r="AC67" i="12" s="1"/>
  <c r="N61" i="7"/>
  <c r="N71" i="7"/>
  <c r="J82" i="7"/>
  <c r="AJ134" i="12" s="1"/>
  <c r="N74" i="7"/>
  <c r="B92" i="7"/>
  <c r="AB166" i="12" s="1"/>
  <c r="N42" i="7"/>
  <c r="J83" i="7"/>
  <c r="AJ135" i="12" s="1"/>
  <c r="AH18" i="26" s="1"/>
  <c r="N7" i="7"/>
  <c r="N11" i="7"/>
  <c r="F23" i="7"/>
  <c r="J23" i="7"/>
  <c r="N12" i="7"/>
  <c r="B52" i="7"/>
  <c r="AB91" i="12" s="1"/>
  <c r="Z16" i="26" s="1"/>
  <c r="J52" i="7"/>
  <c r="N27" i="7"/>
  <c r="N43" i="7"/>
  <c r="N48" i="7"/>
  <c r="N54" i="7"/>
  <c r="N77" i="7"/>
  <c r="N79" i="7"/>
  <c r="F94" i="7"/>
  <c r="E24" i="7"/>
  <c r="AE48" i="12" s="1"/>
  <c r="AC13" i="26" s="1"/>
  <c r="AC14" i="26" s="1"/>
  <c r="C23" i="7"/>
  <c r="G23" i="7"/>
  <c r="K23" i="7"/>
  <c r="N18" i="7"/>
  <c r="N16" i="7"/>
  <c r="N20" i="7"/>
  <c r="C52" i="7"/>
  <c r="AC91" i="12" s="1"/>
  <c r="AA16" i="26" s="1"/>
  <c r="G52" i="7"/>
  <c r="K52" i="7"/>
  <c r="N49" i="7"/>
  <c r="C63" i="7"/>
  <c r="G63" i="7"/>
  <c r="AG112" i="12" s="1"/>
  <c r="AE17" i="26" s="1"/>
  <c r="K63" i="7"/>
  <c r="AK112" i="12" s="1"/>
  <c r="AK22" i="12" s="1"/>
  <c r="AK23" i="12" s="1"/>
  <c r="N57" i="7"/>
  <c r="K82" i="7"/>
  <c r="N76" i="7"/>
  <c r="N89" i="7"/>
  <c r="J94" i="7"/>
  <c r="B9" i="7"/>
  <c r="AB31" i="12" s="1"/>
  <c r="N14" i="7"/>
  <c r="B23" i="7"/>
  <c r="AB46" i="12" s="1"/>
  <c r="Z11" i="26" s="1"/>
  <c r="N39" i="7"/>
  <c r="N47" i="7"/>
  <c r="N65" i="7"/>
  <c r="N69" i="7"/>
  <c r="B81" i="7"/>
  <c r="K92" i="7"/>
  <c r="N66" i="7"/>
  <c r="N9" i="6"/>
  <c r="N38" i="6"/>
  <c r="E58" i="6"/>
  <c r="AQ91" i="12" s="1"/>
  <c r="AO16" i="26" s="1"/>
  <c r="N99" i="6"/>
  <c r="C25" i="6"/>
  <c r="AO48" i="12" s="1"/>
  <c r="AM13" i="26" s="1"/>
  <c r="AM14" i="26" s="1"/>
  <c r="E24" i="6"/>
  <c r="M24" i="6"/>
  <c r="K58" i="6"/>
  <c r="B91" i="6"/>
  <c r="AN134" i="12" s="1"/>
  <c r="N80" i="6"/>
  <c r="N30" i="6"/>
  <c r="K42" i="6"/>
  <c r="AW71" i="12" s="1"/>
  <c r="B47" i="6"/>
  <c r="H71" i="6"/>
  <c r="AT112" i="12" s="1"/>
  <c r="AT22" i="12" s="1"/>
  <c r="AT25" i="12" s="1"/>
  <c r="N60" i="6"/>
  <c r="B105" i="6"/>
  <c r="AN168" i="12" s="1"/>
  <c r="AL26" i="26" s="1"/>
  <c r="M71" i="6"/>
  <c r="AY112" i="12" s="1"/>
  <c r="AY22" i="12" s="1"/>
  <c r="AY23" i="12" s="1"/>
  <c r="N98" i="6"/>
  <c r="B106" i="6"/>
  <c r="AN170" i="12" s="1"/>
  <c r="AL28" i="26" s="1"/>
  <c r="J106" i="6"/>
  <c r="AV170" i="12" s="1"/>
  <c r="AT28" i="26" s="1"/>
  <c r="C105" i="6"/>
  <c r="AO168" i="12" s="1"/>
  <c r="AM26" i="26" s="1"/>
  <c r="K105" i="6"/>
  <c r="N7" i="6"/>
  <c r="G24" i="6"/>
  <c r="K24" i="6"/>
  <c r="B19" i="6"/>
  <c r="N29" i="6"/>
  <c r="N53" i="6"/>
  <c r="K91" i="6"/>
  <c r="N27" i="6"/>
  <c r="H58" i="6"/>
  <c r="N49" i="6"/>
  <c r="L71" i="6"/>
  <c r="AX112" i="12" s="1"/>
  <c r="AX22" i="12" s="1"/>
  <c r="AX23" i="12" s="1"/>
  <c r="D71" i="6"/>
  <c r="AP112" i="12" s="1"/>
  <c r="AP22" i="12" s="1"/>
  <c r="AP25" i="12" s="1"/>
  <c r="F91" i="6"/>
  <c r="AR134" i="12" s="1"/>
  <c r="B90" i="6"/>
  <c r="AN133" i="12" s="1"/>
  <c r="C47" i="6"/>
  <c r="AO79" i="12" s="1"/>
  <c r="B55" i="6"/>
  <c r="I71" i="6"/>
  <c r="AU112" i="12" s="1"/>
  <c r="AU22" i="12" s="1"/>
  <c r="AU25" i="12" s="1"/>
  <c r="E71" i="6"/>
  <c r="AQ112" i="12" s="1"/>
  <c r="AQ22" i="12" s="1"/>
  <c r="N69" i="6"/>
  <c r="N70" i="6"/>
  <c r="B71" i="6"/>
  <c r="AN112" i="12" s="1"/>
  <c r="AN22" i="12" s="1"/>
  <c r="N74" i="6"/>
  <c r="N77" i="6"/>
  <c r="C90" i="6"/>
  <c r="G90" i="6"/>
  <c r="AS133" i="12" s="1"/>
  <c r="F24" i="6"/>
  <c r="J24" i="6"/>
  <c r="AV46" i="12" s="1"/>
  <c r="AT11" i="26" s="1"/>
  <c r="N11" i="6"/>
  <c r="I31" i="6"/>
  <c r="M31" i="6"/>
  <c r="D58" i="6"/>
  <c r="AP91" i="12" s="1"/>
  <c r="AN16" i="26" s="1"/>
  <c r="N33" i="6"/>
  <c r="N40" i="6"/>
  <c r="B42" i="6"/>
  <c r="N61" i="6"/>
  <c r="J91" i="6"/>
  <c r="N76" i="6"/>
  <c r="N78" i="6"/>
  <c r="N82" i="6"/>
  <c r="N86" i="6"/>
  <c r="N73" i="6"/>
  <c r="N85" i="6"/>
  <c r="N102" i="6"/>
  <c r="F7" i="32" l="1"/>
  <c r="F92" i="6"/>
  <c r="AR135" i="12" s="1"/>
  <c r="AP18" i="26" s="1"/>
  <c r="AQ23" i="12"/>
  <c r="M18" i="8"/>
  <c r="AA48" i="12" s="1"/>
  <c r="Y13" i="26" s="1"/>
  <c r="Y14" i="26" s="1"/>
  <c r="AU23" i="12"/>
  <c r="R49" i="12"/>
  <c r="F66" i="16"/>
  <c r="E87" i="17"/>
  <c r="H41" i="20"/>
  <c r="AS17" i="26"/>
  <c r="AI17" i="26"/>
  <c r="BB178" i="12"/>
  <c r="AK25" i="12"/>
  <c r="BI17" i="26"/>
  <c r="BK22" i="12"/>
  <c r="AO49" i="12"/>
  <c r="Y49" i="12"/>
  <c r="AL23" i="12"/>
  <c r="AY25" i="12"/>
  <c r="C66" i="19"/>
  <c r="C69" i="19" s="1"/>
  <c r="BI33" i="26"/>
  <c r="G37" i="1" s="1"/>
  <c r="BL178" i="12"/>
  <c r="J41" i="20"/>
  <c r="I41" i="20"/>
  <c r="N26" i="22"/>
  <c r="AX17" i="26"/>
  <c r="I36" i="24"/>
  <c r="BG174" i="12" s="1"/>
  <c r="BE32" i="26" s="1"/>
  <c r="C93" i="10"/>
  <c r="BA134" i="12" s="1"/>
  <c r="BH17" i="26"/>
  <c r="BJ22" i="12"/>
  <c r="BJ25" i="12" s="1"/>
  <c r="BF17" i="26"/>
  <c r="BH22" i="12"/>
  <c r="AP23" i="12"/>
  <c r="AV23" i="12"/>
  <c r="BK174" i="12"/>
  <c r="BI32" i="26" s="1"/>
  <c r="B62" i="17"/>
  <c r="D19" i="1"/>
  <c r="BG17" i="26"/>
  <c r="BI22" i="12"/>
  <c r="L15" i="9"/>
  <c r="N48" i="12" s="1"/>
  <c r="AZ23" i="12"/>
  <c r="D26" i="16"/>
  <c r="BF33" i="26"/>
  <c r="N22" i="21"/>
  <c r="E33" i="17"/>
  <c r="L52" i="9"/>
  <c r="N135" i="12" s="1"/>
  <c r="L18" i="26" s="1"/>
  <c r="C13" i="1"/>
  <c r="C12" i="1" s="1"/>
  <c r="G15" i="9"/>
  <c r="I48" i="12" s="1"/>
  <c r="L91" i="6"/>
  <c r="E10" i="1"/>
  <c r="H49" i="12"/>
  <c r="AL9" i="26"/>
  <c r="D40" i="1"/>
  <c r="AX9" i="26"/>
  <c r="E40" i="1"/>
  <c r="F8" i="1"/>
  <c r="D9" i="1"/>
  <c r="F9" i="1"/>
  <c r="M49" i="12"/>
  <c r="D8" i="1"/>
  <c r="G9" i="1"/>
  <c r="F10" i="1"/>
  <c r="F7" i="1" s="1"/>
  <c r="K14" i="26"/>
  <c r="G8" i="1"/>
  <c r="E8" i="1"/>
  <c r="C8" i="1"/>
  <c r="F40" i="1"/>
  <c r="G40" i="1"/>
  <c r="C40" i="1"/>
  <c r="AN25" i="12"/>
  <c r="AN23" i="12"/>
  <c r="AO23" i="12"/>
  <c r="I32" i="26"/>
  <c r="K178" i="12"/>
  <c r="AL32" i="26"/>
  <c r="AN178" i="12"/>
  <c r="E64" i="8"/>
  <c r="S134" i="12"/>
  <c r="G91" i="6"/>
  <c r="K106" i="6"/>
  <c r="AW170" i="12" s="1"/>
  <c r="AU28" i="26" s="1"/>
  <c r="AW168" i="12"/>
  <c r="AU26" i="26" s="1"/>
  <c r="N47" i="6"/>
  <c r="AN79" i="12"/>
  <c r="D60" i="9"/>
  <c r="F91" i="12"/>
  <c r="D16" i="26" s="1"/>
  <c r="D94" i="10"/>
  <c r="BB134" i="12"/>
  <c r="AA49" i="12"/>
  <c r="AL178" i="12"/>
  <c r="C20" i="19"/>
  <c r="C21" i="19" s="1"/>
  <c r="E177" i="12"/>
  <c r="D23" i="21"/>
  <c r="D27" i="21" s="1"/>
  <c r="AP174" i="12" s="1"/>
  <c r="AN32" i="26" s="1"/>
  <c r="BH126" i="12"/>
  <c r="J93" i="10"/>
  <c r="G22" i="10"/>
  <c r="BE46" i="12" s="1"/>
  <c r="BC11" i="26" s="1"/>
  <c r="BE41" i="12"/>
  <c r="M94" i="7"/>
  <c r="AM166" i="12"/>
  <c r="BJ157" i="12"/>
  <c r="BH24" i="26" s="1"/>
  <c r="BB157" i="12"/>
  <c r="AZ24" i="26" s="1"/>
  <c r="L59" i="10"/>
  <c r="BJ91" i="12" s="1"/>
  <c r="BH16" i="26" s="1"/>
  <c r="BJ59" i="12"/>
  <c r="BG31" i="12"/>
  <c r="N49" i="12"/>
  <c r="AA166" i="12"/>
  <c r="M88" i="8"/>
  <c r="F18" i="8"/>
  <c r="T48" i="12" s="1"/>
  <c r="T31" i="12"/>
  <c r="M82" i="7"/>
  <c r="AM126" i="12"/>
  <c r="E82" i="7"/>
  <c r="AE126" i="12"/>
  <c r="M23" i="7"/>
  <c r="AM41" i="12"/>
  <c r="M105" i="6"/>
  <c r="AY168" i="12" s="1"/>
  <c r="AW26" i="26" s="1"/>
  <c r="AY166" i="12"/>
  <c r="E105" i="6"/>
  <c r="AQ168" i="12" s="1"/>
  <c r="AO26" i="26" s="1"/>
  <c r="AQ166" i="12"/>
  <c r="I24" i="6"/>
  <c r="AU46" i="12" s="1"/>
  <c r="AS11" i="26" s="1"/>
  <c r="AU41" i="12"/>
  <c r="L82" i="7"/>
  <c r="AL126" i="12"/>
  <c r="D82" i="7"/>
  <c r="AD126" i="12"/>
  <c r="AL31" i="12"/>
  <c r="AD31" i="12"/>
  <c r="AU157" i="12"/>
  <c r="AS24" i="26" s="1"/>
  <c r="F58" i="6"/>
  <c r="AR59" i="12"/>
  <c r="AT31" i="12"/>
  <c r="F105" i="6"/>
  <c r="AR166" i="12"/>
  <c r="E22" i="10"/>
  <c r="BC46" i="12" s="1"/>
  <c r="BA11" i="26" s="1"/>
  <c r="U157" i="12"/>
  <c r="S24" i="26" s="1"/>
  <c r="G105" i="6"/>
  <c r="AS166" i="12"/>
  <c r="H91" i="6"/>
  <c r="AT126" i="12"/>
  <c r="L58" i="6"/>
  <c r="AX59" i="12"/>
  <c r="N19" i="6"/>
  <c r="AN41" i="12"/>
  <c r="AW91" i="12"/>
  <c r="AU16" i="26" s="1"/>
  <c r="AK91" i="12"/>
  <c r="AI16" i="26" s="1"/>
  <c r="J84" i="7"/>
  <c r="AJ151" i="12" s="1"/>
  <c r="AJ91" i="12"/>
  <c r="AH16" i="26" s="1"/>
  <c r="F24" i="7"/>
  <c r="AF46" i="12"/>
  <c r="AD11" i="26" s="1"/>
  <c r="G64" i="8"/>
  <c r="U135" i="12" s="1"/>
  <c r="S18" i="26" s="1"/>
  <c r="U134" i="12"/>
  <c r="J41" i="8"/>
  <c r="X79" i="12"/>
  <c r="G17" i="8"/>
  <c r="U41" i="12"/>
  <c r="K60" i="9"/>
  <c r="M91" i="12"/>
  <c r="K16" i="26" s="1"/>
  <c r="K88" i="8"/>
  <c r="Y166" i="12"/>
  <c r="H94" i="7"/>
  <c r="AH166" i="12"/>
  <c r="J92" i="6"/>
  <c r="AV134" i="12"/>
  <c r="C91" i="6"/>
  <c r="AO133" i="12"/>
  <c r="B92" i="6"/>
  <c r="AN135" i="12" s="1"/>
  <c r="AL18" i="26" s="1"/>
  <c r="O157" i="12"/>
  <c r="M24" i="26" s="1"/>
  <c r="C27" i="1" s="1"/>
  <c r="C94" i="10"/>
  <c r="BA135" i="12" s="1"/>
  <c r="AY18" i="26" s="1"/>
  <c r="C59" i="10"/>
  <c r="D77" i="16"/>
  <c r="D56" i="18"/>
  <c r="AO17" i="26"/>
  <c r="AV17" i="26"/>
  <c r="L13" i="26"/>
  <c r="L14" i="26" s="1"/>
  <c r="I178" i="12"/>
  <c r="BE178" i="12"/>
  <c r="BF178" i="12"/>
  <c r="R33" i="26"/>
  <c r="AZ17" i="26"/>
  <c r="AL17" i="26"/>
  <c r="F59" i="10"/>
  <c r="BD91" i="12" s="1"/>
  <c r="BB16" i="26" s="1"/>
  <c r="BD59" i="12"/>
  <c r="M71" i="9"/>
  <c r="O168" i="12" s="1"/>
  <c r="M26" i="26" s="1"/>
  <c r="O166" i="12"/>
  <c r="H88" i="8"/>
  <c r="V166" i="12"/>
  <c r="Z157" i="12"/>
  <c r="X24" i="26" s="1"/>
  <c r="H15" i="9"/>
  <c r="J48" i="12" s="1"/>
  <c r="J110" i="10"/>
  <c r="BH166" i="12"/>
  <c r="H23" i="10"/>
  <c r="BF48" i="12" s="1"/>
  <c r="BF31" i="12"/>
  <c r="BD9" i="26"/>
  <c r="G10" i="1" s="1"/>
  <c r="W166" i="12"/>
  <c r="I88" i="8"/>
  <c r="E41" i="8"/>
  <c r="S91" i="12" s="1"/>
  <c r="Q16" i="26" s="1"/>
  <c r="S67" i="12"/>
  <c r="C111" i="10"/>
  <c r="BA170" i="12" s="1"/>
  <c r="AY28" i="26" s="1"/>
  <c r="BA157" i="12"/>
  <c r="AY24" i="26" s="1"/>
  <c r="K59" i="10"/>
  <c r="BI91" i="12" s="1"/>
  <c r="BG16" i="26" s="1"/>
  <c r="BI59" i="12"/>
  <c r="C63" i="8"/>
  <c r="Q126" i="12"/>
  <c r="D52" i="7"/>
  <c r="AD67" i="12"/>
  <c r="H105" i="6"/>
  <c r="AT168" i="12" s="1"/>
  <c r="AR26" i="26" s="1"/>
  <c r="AT166" i="12"/>
  <c r="H24" i="6"/>
  <c r="AT46" i="12" s="1"/>
  <c r="AR11" i="26" s="1"/>
  <c r="F71" i="9"/>
  <c r="H166" i="12"/>
  <c r="J71" i="9"/>
  <c r="L166" i="12"/>
  <c r="G94" i="7"/>
  <c r="AG166" i="12"/>
  <c r="F52" i="7"/>
  <c r="L23" i="7"/>
  <c r="AL46" i="12" s="1"/>
  <c r="AJ11" i="26" s="1"/>
  <c r="D23" i="7"/>
  <c r="AD46" i="12" s="1"/>
  <c r="AB11" i="26" s="1"/>
  <c r="H106" i="6"/>
  <c r="AT170" i="12" s="1"/>
  <c r="AR28" i="26" s="1"/>
  <c r="AT157" i="12"/>
  <c r="AR24" i="26" s="1"/>
  <c r="I58" i="6"/>
  <c r="AU91" i="12" s="1"/>
  <c r="AS16" i="26" s="1"/>
  <c r="AU59" i="12"/>
  <c r="C24" i="7"/>
  <c r="AC48" i="12" s="1"/>
  <c r="AC46" i="12"/>
  <c r="AA11" i="26" s="1"/>
  <c r="H64" i="8"/>
  <c r="F61" i="9"/>
  <c r="H151" i="12"/>
  <c r="F20" i="26" s="1"/>
  <c r="E59" i="10"/>
  <c r="BC67" i="12"/>
  <c r="F41" i="17"/>
  <c r="E43" i="17"/>
  <c r="E94" i="7"/>
  <c r="AE166" i="12"/>
  <c r="C88" i="8"/>
  <c r="Q168" i="12" s="1"/>
  <c r="O26" i="26" s="1"/>
  <c r="Q166" i="12"/>
  <c r="I64" i="8"/>
  <c r="W135" i="12" s="1"/>
  <c r="U18" i="26" s="1"/>
  <c r="W134" i="12"/>
  <c r="I93" i="10"/>
  <c r="C58" i="6"/>
  <c r="AO91" i="12" s="1"/>
  <c r="AM16" i="26" s="1"/>
  <c r="C106" i="6"/>
  <c r="AO170" i="12" s="1"/>
  <c r="AM28" i="26" s="1"/>
  <c r="AG91" i="12"/>
  <c r="AE16" i="26" s="1"/>
  <c r="Z91" i="12"/>
  <c r="X16" i="26" s="1"/>
  <c r="N73" i="8"/>
  <c r="Q143" i="12"/>
  <c r="C18" i="8"/>
  <c r="Q48" i="12" s="1"/>
  <c r="G60" i="9"/>
  <c r="I91" i="12"/>
  <c r="G16" i="26" s="1"/>
  <c r="BF25" i="12"/>
  <c r="B63" i="17"/>
  <c r="B77" i="17" s="1"/>
  <c r="C25" i="17"/>
  <c r="C26" i="17" s="1"/>
  <c r="AC177" i="12"/>
  <c r="B22" i="18"/>
  <c r="B23" i="18" s="1"/>
  <c r="G25" i="6"/>
  <c r="AS46" i="12"/>
  <c r="AQ11" i="26" s="1"/>
  <c r="N103" i="6"/>
  <c r="M25" i="6"/>
  <c r="AY46" i="12"/>
  <c r="AW11" i="26" s="1"/>
  <c r="K94" i="7"/>
  <c r="AK166" i="12"/>
  <c r="K83" i="7"/>
  <c r="AK135" i="12" s="1"/>
  <c r="AI18" i="26" s="1"/>
  <c r="AK134" i="12"/>
  <c r="K24" i="7"/>
  <c r="AK46" i="12"/>
  <c r="AI11" i="26" s="1"/>
  <c r="F95" i="7"/>
  <c r="AF170" i="12" s="1"/>
  <c r="AD28" i="26" s="1"/>
  <c r="AF168" i="12"/>
  <c r="AD26" i="26" s="1"/>
  <c r="N37" i="7"/>
  <c r="N48" i="8"/>
  <c r="N31" i="8"/>
  <c r="R134" i="12"/>
  <c r="N14" i="8"/>
  <c r="C60" i="9"/>
  <c r="E151" i="12" s="1"/>
  <c r="C20" i="26" s="1"/>
  <c r="E91" i="12"/>
  <c r="C16" i="26" s="1"/>
  <c r="L60" i="9"/>
  <c r="N91" i="12"/>
  <c r="L16" i="26" s="1"/>
  <c r="N33" i="9"/>
  <c r="L94" i="10"/>
  <c r="BJ134" i="12"/>
  <c r="H94" i="10"/>
  <c r="BF135" i="12" s="1"/>
  <c r="BD18" i="26" s="1"/>
  <c r="N18" i="10"/>
  <c r="J23" i="10"/>
  <c r="BH48" i="12" s="1"/>
  <c r="BH26" i="12" s="1"/>
  <c r="BA23" i="12"/>
  <c r="AT23" i="12"/>
  <c r="AQ25" i="12"/>
  <c r="AR23" i="12"/>
  <c r="AX25" i="12"/>
  <c r="AO26" i="12"/>
  <c r="AO27" i="12" s="1"/>
  <c r="C27" i="16"/>
  <c r="C28" i="16" s="1"/>
  <c r="AO177" i="12"/>
  <c r="L33" i="17"/>
  <c r="C56" i="18"/>
  <c r="C68" i="18" s="1"/>
  <c r="C85" i="18" s="1"/>
  <c r="D20" i="19"/>
  <c r="D21" i="19" s="1"/>
  <c r="F177" i="12"/>
  <c r="B70" i="19"/>
  <c r="C79" i="20"/>
  <c r="M29" i="23"/>
  <c r="O174" i="12" s="1"/>
  <c r="M32" i="26" s="1"/>
  <c r="N27" i="24"/>
  <c r="N9" i="26"/>
  <c r="AR17" i="26"/>
  <c r="C19" i="26"/>
  <c r="AD178" i="12"/>
  <c r="BJ178" i="12"/>
  <c r="BD178" i="12"/>
  <c r="M13" i="26"/>
  <c r="M14" i="26" s="1"/>
  <c r="I13" i="26"/>
  <c r="I14" i="26" s="1"/>
  <c r="F13" i="26"/>
  <c r="F14" i="26" s="1"/>
  <c r="BK178" i="12"/>
  <c r="B13" i="26"/>
  <c r="B14" i="26" s="1"/>
  <c r="D60" i="20"/>
  <c r="E58" i="20"/>
  <c r="B25" i="17"/>
  <c r="B26" i="17" s="1"/>
  <c r="AB177" i="12"/>
  <c r="E45" i="16"/>
  <c r="M110" i="10"/>
  <c r="BK168" i="12" s="1"/>
  <c r="BI26" i="26" s="1"/>
  <c r="BK166" i="12"/>
  <c r="E110" i="10"/>
  <c r="BC168" i="12" s="1"/>
  <c r="BA26" i="26" s="1"/>
  <c r="BC166" i="12"/>
  <c r="F93" i="10"/>
  <c r="BD126" i="12"/>
  <c r="G93" i="10"/>
  <c r="K166" i="12"/>
  <c r="I71" i="9"/>
  <c r="N46" i="9"/>
  <c r="E18" i="8"/>
  <c r="S48" i="12" s="1"/>
  <c r="I94" i="7"/>
  <c r="AI166" i="12"/>
  <c r="G82" i="7"/>
  <c r="AG126" i="12"/>
  <c r="L110" i="10"/>
  <c r="BJ168" i="12" s="1"/>
  <c r="BH26" i="26" s="1"/>
  <c r="BJ166" i="12"/>
  <c r="D110" i="10"/>
  <c r="BB168" i="12" s="1"/>
  <c r="AZ26" i="26" s="1"/>
  <c r="BB166" i="12"/>
  <c r="BA31" i="12"/>
  <c r="G88" i="8"/>
  <c r="U168" i="12" s="1"/>
  <c r="S26" i="26" s="1"/>
  <c r="U166" i="12"/>
  <c r="L94" i="7"/>
  <c r="AL166" i="12"/>
  <c r="D94" i="7"/>
  <c r="AD166" i="12"/>
  <c r="C82" i="7"/>
  <c r="AC126" i="12"/>
  <c r="G110" i="10"/>
  <c r="BE166" i="12"/>
  <c r="N104" i="10"/>
  <c r="BF157" i="12"/>
  <c r="BD24" i="26" s="1"/>
  <c r="E93" i="10"/>
  <c r="E23" i="10"/>
  <c r="BC48" i="12" s="1"/>
  <c r="BC31" i="12"/>
  <c r="D15" i="9"/>
  <c r="F48" i="12" s="1"/>
  <c r="I82" i="7"/>
  <c r="AI126" i="12"/>
  <c r="I23" i="7"/>
  <c r="AI41" i="12"/>
  <c r="AU166" i="12"/>
  <c r="I105" i="6"/>
  <c r="AU168" i="12" s="1"/>
  <c r="AS26" i="26" s="1"/>
  <c r="H82" i="7"/>
  <c r="AH31" i="12"/>
  <c r="M106" i="6"/>
  <c r="AY170" i="12" s="1"/>
  <c r="AW28" i="26" s="1"/>
  <c r="AY157" i="12"/>
  <c r="AW24" i="26" s="1"/>
  <c r="E106" i="6"/>
  <c r="AQ170" i="12" s="1"/>
  <c r="AO28" i="26" s="1"/>
  <c r="AQ157" i="12"/>
  <c r="AO24" i="26" s="1"/>
  <c r="I91" i="6"/>
  <c r="AU126" i="12"/>
  <c r="J58" i="6"/>
  <c r="AV91" i="12" s="1"/>
  <c r="AT16" i="26" s="1"/>
  <c r="AV59" i="12"/>
  <c r="F88" i="8"/>
  <c r="T166" i="12"/>
  <c r="G58" i="6"/>
  <c r="AS91" i="12" s="1"/>
  <c r="AQ16" i="26" s="1"/>
  <c r="N85" i="10"/>
  <c r="BB129" i="12"/>
  <c r="I22" i="10"/>
  <c r="BG46" i="12" s="1"/>
  <c r="BE11" i="26" s="1"/>
  <c r="K23" i="10"/>
  <c r="BI48" i="12" s="1"/>
  <c r="BI26" i="12" s="1"/>
  <c r="C89" i="8"/>
  <c r="Q170" i="12" s="1"/>
  <c r="O28" i="26" s="1"/>
  <c r="Q157" i="12"/>
  <c r="O24" i="26" s="1"/>
  <c r="E91" i="6"/>
  <c r="AQ126" i="12"/>
  <c r="F82" i="7"/>
  <c r="AF126" i="12"/>
  <c r="I25" i="6"/>
  <c r="AU48" i="12" s="1"/>
  <c r="AU31" i="12"/>
  <c r="AA91" i="12"/>
  <c r="Y16" i="26" s="1"/>
  <c r="F74" i="8"/>
  <c r="T135" i="12"/>
  <c r="R18" i="26" s="1"/>
  <c r="I60" i="9"/>
  <c r="K151" i="12" s="1"/>
  <c r="K91" i="12"/>
  <c r="I16" i="26" s="1"/>
  <c r="BH178" i="12"/>
  <c r="BC178" i="12"/>
  <c r="E60" i="19"/>
  <c r="D62" i="19"/>
  <c r="D66" i="19" s="1"/>
  <c r="D69" i="19" s="1"/>
  <c r="BG166" i="12"/>
  <c r="I110" i="10"/>
  <c r="G23" i="10"/>
  <c r="BE48" i="12" s="1"/>
  <c r="BE31" i="12"/>
  <c r="X126" i="12"/>
  <c r="J63" i="8"/>
  <c r="K110" i="10"/>
  <c r="BI168" i="12" s="1"/>
  <c r="BG26" i="26" s="1"/>
  <c r="BI166" i="12"/>
  <c r="H110" i="10"/>
  <c r="BF168" i="12" s="1"/>
  <c r="BD26" i="26" s="1"/>
  <c r="BF166" i="12"/>
  <c r="AT91" i="12"/>
  <c r="AR16" i="26" s="1"/>
  <c r="K92" i="6"/>
  <c r="AW135" i="12" s="1"/>
  <c r="AU18" i="26" s="1"/>
  <c r="AW134" i="12"/>
  <c r="K25" i="6"/>
  <c r="AW46" i="12"/>
  <c r="AU11" i="26" s="1"/>
  <c r="N63" i="7"/>
  <c r="AC112" i="12"/>
  <c r="AA17" i="26" s="1"/>
  <c r="I74" i="8"/>
  <c r="W151" i="12" s="1"/>
  <c r="W91" i="12"/>
  <c r="U16" i="26" s="1"/>
  <c r="L48" i="12"/>
  <c r="N37" i="9"/>
  <c r="D91" i="12"/>
  <c r="B16" i="26" s="1"/>
  <c r="H59" i="10"/>
  <c r="BF79" i="12"/>
  <c r="N92" i="10"/>
  <c r="BK133" i="12"/>
  <c r="B23" i="10"/>
  <c r="AZ48" i="12" s="1"/>
  <c r="B69" i="16"/>
  <c r="B83" i="16" s="1"/>
  <c r="B102" i="16" s="1"/>
  <c r="N42" i="6"/>
  <c r="AN71" i="12"/>
  <c r="M58" i="6"/>
  <c r="AY59" i="12"/>
  <c r="F25" i="6"/>
  <c r="AR46" i="12"/>
  <c r="AP11" i="26" s="1"/>
  <c r="N55" i="6"/>
  <c r="AN87" i="12"/>
  <c r="E25" i="6"/>
  <c r="AQ48" i="12" s="1"/>
  <c r="AQ46" i="12"/>
  <c r="AO11" i="26" s="1"/>
  <c r="J25" i="6"/>
  <c r="AV48" i="12" s="1"/>
  <c r="N81" i="7"/>
  <c r="AB133" i="12"/>
  <c r="J95" i="7"/>
  <c r="AJ170" i="12" s="1"/>
  <c r="AH28" i="26" s="1"/>
  <c r="AJ168" i="12"/>
  <c r="AH26" i="26" s="1"/>
  <c r="N33" i="7"/>
  <c r="G24" i="7"/>
  <c r="AG46" i="12"/>
  <c r="AE11" i="26" s="1"/>
  <c r="J24" i="7"/>
  <c r="AJ46" i="12"/>
  <c r="AH11" i="26" s="1"/>
  <c r="K64" i="8"/>
  <c r="I18" i="8"/>
  <c r="W46" i="12"/>
  <c r="U11" i="26" s="1"/>
  <c r="N58" i="8"/>
  <c r="S131" i="12"/>
  <c r="N64" i="9"/>
  <c r="N58" i="9"/>
  <c r="H143" i="12"/>
  <c r="M60" i="9"/>
  <c r="O151" i="12" s="1"/>
  <c r="M20" i="26" s="1"/>
  <c r="O91" i="12"/>
  <c r="M16" i="26" s="1"/>
  <c r="E60" i="9"/>
  <c r="G151" i="12" s="1"/>
  <c r="H60" i="9"/>
  <c r="J91" i="12"/>
  <c r="H16" i="26" s="1"/>
  <c r="E15" i="9"/>
  <c r="G48" i="12" s="1"/>
  <c r="AZ168" i="12"/>
  <c r="AX26" i="26" s="1"/>
  <c r="M59" i="10"/>
  <c r="BK91" i="12" s="1"/>
  <c r="BI16" i="26" s="1"/>
  <c r="BK67" i="12"/>
  <c r="N31" i="10"/>
  <c r="K94" i="10"/>
  <c r="I59" i="10"/>
  <c r="BG67" i="12"/>
  <c r="M22" i="10"/>
  <c r="F23" i="10"/>
  <c r="BD48" i="12" s="1"/>
  <c r="BE23" i="12"/>
  <c r="AE49" i="12"/>
  <c r="G26" i="16"/>
  <c r="E26" i="16"/>
  <c r="F26" i="16"/>
  <c r="C77" i="16"/>
  <c r="C81" i="16" s="1"/>
  <c r="C82" i="16" s="1"/>
  <c r="D60" i="17"/>
  <c r="K33" i="17"/>
  <c r="F33" i="17"/>
  <c r="D88" i="17"/>
  <c r="D95" i="17" s="1"/>
  <c r="B66" i="18"/>
  <c r="B67" i="18" s="1"/>
  <c r="B68" i="18" s="1"/>
  <c r="B85" i="18" s="1"/>
  <c r="Q177" i="12"/>
  <c r="S177" i="12"/>
  <c r="C53" i="19"/>
  <c r="C54" i="19" s="1"/>
  <c r="C55" i="19" s="1"/>
  <c r="C70" i="19" s="1"/>
  <c r="D106" i="20"/>
  <c r="B92" i="20"/>
  <c r="B93" i="20" s="1"/>
  <c r="B94" i="20" s="1"/>
  <c r="N28" i="23"/>
  <c r="AW17" i="26"/>
  <c r="AN17" i="26"/>
  <c r="BC17" i="26"/>
  <c r="G19" i="1" s="1"/>
  <c r="C13" i="26"/>
  <c r="C14" i="26" s="1"/>
  <c r="AM178" i="12"/>
  <c r="BG178" i="12"/>
  <c r="N35" i="25"/>
  <c r="C18" i="18"/>
  <c r="C22" i="18" s="1"/>
  <c r="C23" i="18" s="1"/>
  <c r="D17" i="18"/>
  <c r="R177" i="12"/>
  <c r="BD157" i="12"/>
  <c r="BB24" i="26" s="1"/>
  <c r="D59" i="10"/>
  <c r="BB91" i="12" s="1"/>
  <c r="AZ16" i="26" s="1"/>
  <c r="BB59" i="12"/>
  <c r="J59" i="10"/>
  <c r="BH59" i="12"/>
  <c r="L22" i="10"/>
  <c r="BJ46" i="12" s="1"/>
  <c r="BH11" i="26" s="1"/>
  <c r="L88" i="8"/>
  <c r="Z168" i="12" s="1"/>
  <c r="X26" i="26" s="1"/>
  <c r="Z166" i="12"/>
  <c r="D88" i="8"/>
  <c r="R166" i="12"/>
  <c r="H17" i="8"/>
  <c r="C22" i="10"/>
  <c r="BA41" i="12"/>
  <c r="L71" i="9"/>
  <c r="N166" i="12"/>
  <c r="N62" i="8"/>
  <c r="P133" i="12"/>
  <c r="B63" i="8"/>
  <c r="F110" i="10"/>
  <c r="BD168" i="12" s="1"/>
  <c r="BB26" i="26" s="1"/>
  <c r="BD166" i="12"/>
  <c r="BJ31" i="12"/>
  <c r="D23" i="10"/>
  <c r="BB48" i="12" s="1"/>
  <c r="BB31" i="12"/>
  <c r="E88" i="8"/>
  <c r="S168" i="12" s="1"/>
  <c r="Q26" i="26" s="1"/>
  <c r="S166" i="12"/>
  <c r="L63" i="8"/>
  <c r="Z126" i="12"/>
  <c r="M64" i="8"/>
  <c r="AA135" i="12" s="1"/>
  <c r="Y18" i="26" s="1"/>
  <c r="L17" i="8"/>
  <c r="N17" i="8" s="1"/>
  <c r="J18" i="8"/>
  <c r="X48" i="12" s="1"/>
  <c r="X31" i="12"/>
  <c r="M91" i="6"/>
  <c r="AY126" i="12"/>
  <c r="J88" i="8"/>
  <c r="X166" i="12"/>
  <c r="E89" i="8"/>
  <c r="S170" i="12" s="1"/>
  <c r="Q28" i="26" s="1"/>
  <c r="S157" i="12"/>
  <c r="Q24" i="26" s="1"/>
  <c r="C94" i="7"/>
  <c r="AC166" i="12"/>
  <c r="K111" i="10"/>
  <c r="BI170" i="12" s="1"/>
  <c r="BG28" i="26" s="1"/>
  <c r="BI157" i="12"/>
  <c r="BG24" i="26" s="1"/>
  <c r="N41" i="10"/>
  <c r="AZ71" i="12"/>
  <c r="G59" i="10"/>
  <c r="BE91" i="12" s="1"/>
  <c r="BC16" i="26" s="1"/>
  <c r="BE59" i="12"/>
  <c r="H52" i="7"/>
  <c r="N52" i="7" s="1"/>
  <c r="L105" i="6"/>
  <c r="AX168" i="12" s="1"/>
  <c r="AV26" i="26" s="1"/>
  <c r="AX166" i="12"/>
  <c r="D105" i="6"/>
  <c r="AP168" i="12" s="1"/>
  <c r="AN26" i="26" s="1"/>
  <c r="AP166" i="12"/>
  <c r="N83" i="6"/>
  <c r="AO129" i="12"/>
  <c r="L24" i="6"/>
  <c r="D24" i="6"/>
  <c r="D71" i="9"/>
  <c r="F166" i="12"/>
  <c r="J60" i="9"/>
  <c r="L151" i="12" s="1"/>
  <c r="J20" i="26" s="1"/>
  <c r="H23" i="7"/>
  <c r="AH46" i="12" s="1"/>
  <c r="AF11" i="26" s="1"/>
  <c r="L106" i="6"/>
  <c r="AX170" i="12" s="1"/>
  <c r="AV28" i="26" s="1"/>
  <c r="AX157" i="12"/>
  <c r="AV24" i="26" s="1"/>
  <c r="D106" i="6"/>
  <c r="AP170" i="12" s="1"/>
  <c r="AN28" i="26" s="1"/>
  <c r="AP157" i="12"/>
  <c r="AN24" i="26" s="1"/>
  <c r="F27" i="1" s="1"/>
  <c r="D91" i="6"/>
  <c r="D10" i="1"/>
  <c r="BB23" i="12"/>
  <c r="BC23" i="12"/>
  <c r="C19" i="1"/>
  <c r="E19" i="1"/>
  <c r="F19" i="1"/>
  <c r="C10" i="1"/>
  <c r="BR149" i="12"/>
  <c r="B36" i="25"/>
  <c r="N26" i="25"/>
  <c r="B28" i="24"/>
  <c r="B20" i="23"/>
  <c r="N19" i="23"/>
  <c r="D29" i="23"/>
  <c r="F174" i="12" s="1"/>
  <c r="D32" i="26" s="1"/>
  <c r="E27" i="22"/>
  <c r="B38" i="22"/>
  <c r="P174" i="12" s="1"/>
  <c r="N32" i="26" s="1"/>
  <c r="N23" i="21"/>
  <c r="N27" i="21"/>
  <c r="E105" i="20"/>
  <c r="F103" i="20"/>
  <c r="F86" i="20"/>
  <c r="E88" i="20"/>
  <c r="H73" i="20"/>
  <c r="G77" i="20"/>
  <c r="E89" i="20"/>
  <c r="D91" i="20"/>
  <c r="C85" i="20"/>
  <c r="C92" i="20" s="1"/>
  <c r="C93" i="20" s="1"/>
  <c r="D83" i="20"/>
  <c r="E82" i="20"/>
  <c r="F98" i="20"/>
  <c r="E43" i="20"/>
  <c r="E64" i="20"/>
  <c r="E19" i="20"/>
  <c r="D20" i="20"/>
  <c r="F99" i="20"/>
  <c r="E102" i="20"/>
  <c r="E106" i="20" s="1"/>
  <c r="D71" i="20"/>
  <c r="D79" i="20" s="1"/>
  <c r="E69" i="20"/>
  <c r="C57" i="20"/>
  <c r="C62" i="20" s="1"/>
  <c r="C80" i="20" s="1"/>
  <c r="C94" i="20" s="1"/>
  <c r="C114" i="20" s="1"/>
  <c r="D44" i="20"/>
  <c r="B106" i="20"/>
  <c r="B113" i="20" s="1"/>
  <c r="D113" i="20"/>
  <c r="E96" i="20"/>
  <c r="E29" i="20"/>
  <c r="D31" i="20"/>
  <c r="D33" i="20" s="1"/>
  <c r="E22" i="20"/>
  <c r="D26" i="20"/>
  <c r="L54" i="20"/>
  <c r="K56" i="20"/>
  <c r="I59" i="19"/>
  <c r="F29" i="19"/>
  <c r="E32" i="19"/>
  <c r="E34" i="19" s="1"/>
  <c r="E16" i="19"/>
  <c r="F15" i="19"/>
  <c r="G40" i="19"/>
  <c r="H38" i="19"/>
  <c r="H65" i="19"/>
  <c r="I63" i="19"/>
  <c r="G41" i="19"/>
  <c r="F45" i="19"/>
  <c r="E13" i="19"/>
  <c r="D45" i="19"/>
  <c r="D47" i="19" s="1"/>
  <c r="D48" i="19" s="1"/>
  <c r="D55" i="19" s="1"/>
  <c r="E42" i="19"/>
  <c r="E45" i="19" s="1"/>
  <c r="E50" i="19"/>
  <c r="D53" i="19"/>
  <c r="D54" i="19" s="1"/>
  <c r="L58" i="19"/>
  <c r="F27" i="19"/>
  <c r="G26" i="19"/>
  <c r="F36" i="19"/>
  <c r="E47" i="19"/>
  <c r="E48" i="19" s="1"/>
  <c r="K37" i="19"/>
  <c r="L10" i="19"/>
  <c r="K13" i="19"/>
  <c r="M177" i="12" s="1"/>
  <c r="E62" i="18"/>
  <c r="D64" i="18"/>
  <c r="D66" i="18" s="1"/>
  <c r="D67" i="18" s="1"/>
  <c r="D68" i="18" s="1"/>
  <c r="F58" i="18"/>
  <c r="E70" i="18"/>
  <c r="M41" i="18"/>
  <c r="E37" i="18"/>
  <c r="E39" i="18" s="1"/>
  <c r="F35" i="18"/>
  <c r="E72" i="18"/>
  <c r="D75" i="18"/>
  <c r="D79" i="18" s="1"/>
  <c r="D84" i="18" s="1"/>
  <c r="G47" i="18"/>
  <c r="H45" i="18"/>
  <c r="E71" i="18"/>
  <c r="K59" i="18"/>
  <c r="J61" i="18"/>
  <c r="L31" i="18"/>
  <c r="K34" i="18"/>
  <c r="G15" i="18"/>
  <c r="U177" i="12" s="1"/>
  <c r="H9" i="18"/>
  <c r="J62" i="18"/>
  <c r="I64" i="18"/>
  <c r="G76" i="18"/>
  <c r="F78" i="18"/>
  <c r="E53" i="18"/>
  <c r="E55" i="18" s="1"/>
  <c r="E56" i="18" s="1"/>
  <c r="F49" i="18"/>
  <c r="B96" i="17"/>
  <c r="G85" i="17"/>
  <c r="F87" i="17"/>
  <c r="H74" i="17"/>
  <c r="I72" i="17"/>
  <c r="D54" i="17"/>
  <c r="E52" i="17"/>
  <c r="F18" i="17"/>
  <c r="E19" i="17"/>
  <c r="F65" i="17"/>
  <c r="E79" i="17"/>
  <c r="D71" i="17"/>
  <c r="F80" i="17"/>
  <c r="D68" i="17"/>
  <c r="E66" i="17"/>
  <c r="F81" i="17"/>
  <c r="E84" i="17"/>
  <c r="E88" i="17" s="1"/>
  <c r="D72" i="17"/>
  <c r="C74" i="17"/>
  <c r="C75" i="17" s="1"/>
  <c r="C76" i="17" s="1"/>
  <c r="I16" i="17"/>
  <c r="AI177" i="12" s="1"/>
  <c r="J9" i="17"/>
  <c r="J16" i="17" s="1"/>
  <c r="AJ177" i="12" s="1"/>
  <c r="D25" i="17"/>
  <c r="D26" i="17" s="1"/>
  <c r="F60" i="17"/>
  <c r="G56" i="17"/>
  <c r="E71" i="17"/>
  <c r="F69" i="17"/>
  <c r="D47" i="17"/>
  <c r="C62" i="17"/>
  <c r="C40" i="17"/>
  <c r="C45" i="17" s="1"/>
  <c r="D35" i="17"/>
  <c r="E16" i="17"/>
  <c r="F9" i="17"/>
  <c r="H62" i="16"/>
  <c r="G66" i="16"/>
  <c r="H85" i="16"/>
  <c r="E58" i="16"/>
  <c r="D60" i="16"/>
  <c r="D68" i="16" s="1"/>
  <c r="D20" i="16"/>
  <c r="E19" i="16"/>
  <c r="E77" i="16"/>
  <c r="F75" i="16"/>
  <c r="J53" i="16"/>
  <c r="L71" i="16"/>
  <c r="E93" i="16"/>
  <c r="E94" i="16" s="1"/>
  <c r="E101" i="16" s="1"/>
  <c r="F91" i="16"/>
  <c r="I44" i="16"/>
  <c r="H45" i="16"/>
  <c r="F90" i="16"/>
  <c r="G87" i="16"/>
  <c r="D35" i="16"/>
  <c r="E34" i="16"/>
  <c r="J80" i="16"/>
  <c r="K78" i="16"/>
  <c r="H26" i="16"/>
  <c r="I22" i="16"/>
  <c r="D37" i="16"/>
  <c r="C46" i="16"/>
  <c r="C51" i="16" s="1"/>
  <c r="C69" i="16" s="1"/>
  <c r="E72" i="16"/>
  <c r="D74" i="16"/>
  <c r="D81" i="16" s="1"/>
  <c r="D82" i="16" s="1"/>
  <c r="F47" i="16"/>
  <c r="E49" i="16"/>
  <c r="D17" i="16"/>
  <c r="E10" i="16"/>
  <c r="H86" i="16"/>
  <c r="N38" i="10"/>
  <c r="N48" i="10"/>
  <c r="N72" i="10"/>
  <c r="N82" i="10"/>
  <c r="B93" i="10"/>
  <c r="AZ134" i="12" s="1"/>
  <c r="M93" i="10"/>
  <c r="N51" i="9"/>
  <c r="B52" i="9"/>
  <c r="I61" i="9"/>
  <c r="B60" i="9"/>
  <c r="E61" i="9"/>
  <c r="B71" i="9"/>
  <c r="D168" i="12" s="1"/>
  <c r="B26" i="26" s="1"/>
  <c r="N69" i="9"/>
  <c r="M61" i="9"/>
  <c r="N15" i="9"/>
  <c r="C61" i="9"/>
  <c r="G74" i="8"/>
  <c r="B88" i="8"/>
  <c r="B89" i="8" s="1"/>
  <c r="N86" i="8"/>
  <c r="B18" i="8"/>
  <c r="P48" i="12" s="1"/>
  <c r="N9" i="8"/>
  <c r="D64" i="8"/>
  <c r="N79" i="8"/>
  <c r="N41" i="8"/>
  <c r="B24" i="7"/>
  <c r="AB48" i="12" s="1"/>
  <c r="N9" i="7"/>
  <c r="B82" i="7"/>
  <c r="AB134" i="12" s="1"/>
  <c r="B94" i="7"/>
  <c r="AB168" i="12" s="1"/>
  <c r="Z26" i="26" s="1"/>
  <c r="N92" i="7"/>
  <c r="N91" i="6"/>
  <c r="N90" i="6"/>
  <c r="B24" i="6"/>
  <c r="AN46" i="12" s="1"/>
  <c r="AL11" i="26" s="1"/>
  <c r="N71" i="6"/>
  <c r="B58" i="6"/>
  <c r="AN91" i="12" s="1"/>
  <c r="AL16" i="26" s="1"/>
  <c r="N31" i="6"/>
  <c r="N105" i="6"/>
  <c r="D27" i="1" l="1"/>
  <c r="BJ23" i="12"/>
  <c r="BI25" i="12"/>
  <c r="BI23" i="12"/>
  <c r="BH23" i="12"/>
  <c r="BH25" i="12"/>
  <c r="BH27" i="12" s="1"/>
  <c r="BK23" i="12"/>
  <c r="BK25" i="12"/>
  <c r="BL23" i="12"/>
  <c r="N59" i="10"/>
  <c r="BI27" i="12"/>
  <c r="AX134" i="12"/>
  <c r="L92" i="6"/>
  <c r="AX135" i="12" s="1"/>
  <c r="AV18" i="26" s="1"/>
  <c r="D70" i="19"/>
  <c r="C83" i="16"/>
  <c r="C102" i="16" s="1"/>
  <c r="N23" i="7"/>
  <c r="I49" i="12"/>
  <c r="G13" i="26"/>
  <c r="G14" i="26" s="1"/>
  <c r="E7" i="1"/>
  <c r="E11" i="1"/>
  <c r="F11" i="1"/>
  <c r="G7" i="1"/>
  <c r="G11" i="1"/>
  <c r="N13" i="26"/>
  <c r="P49" i="12"/>
  <c r="O153" i="12"/>
  <c r="M22" i="26" s="1"/>
  <c r="B114" i="20"/>
  <c r="AP134" i="12"/>
  <c r="D92" i="6"/>
  <c r="F168" i="12"/>
  <c r="D26" i="26" s="1"/>
  <c r="D72" i="9"/>
  <c r="F170" i="12" s="1"/>
  <c r="D28" i="26" s="1"/>
  <c r="BA46" i="12"/>
  <c r="AY11" i="26" s="1"/>
  <c r="N22" i="10"/>
  <c r="BH91" i="12"/>
  <c r="BF16" i="26" s="1"/>
  <c r="F111" i="10"/>
  <c r="BD170" i="12" s="1"/>
  <c r="BB28" i="26" s="1"/>
  <c r="BB13" i="26"/>
  <c r="BB14" i="26" s="1"/>
  <c r="BD49" i="12"/>
  <c r="BD26" i="12"/>
  <c r="BD27" i="12" s="1"/>
  <c r="K99" i="10"/>
  <c r="BI135" i="12"/>
  <c r="BG18" i="26" s="1"/>
  <c r="H61" i="9"/>
  <c r="J151" i="12"/>
  <c r="L49" i="12"/>
  <c r="J13" i="26"/>
  <c r="J14" i="26" s="1"/>
  <c r="X134" i="12"/>
  <c r="J64" i="8"/>
  <c r="X135" i="12" s="1"/>
  <c r="V18" i="26" s="1"/>
  <c r="BG168" i="12"/>
  <c r="BE26" i="26" s="1"/>
  <c r="I111" i="10"/>
  <c r="BG170" i="12" s="1"/>
  <c r="BE28" i="26" s="1"/>
  <c r="I20" i="26"/>
  <c r="I19" i="26"/>
  <c r="M74" i="8"/>
  <c r="AF134" i="12"/>
  <c r="F83" i="7"/>
  <c r="AF135" i="12" s="1"/>
  <c r="AD18" i="26" s="1"/>
  <c r="AI134" i="12"/>
  <c r="I83" i="7"/>
  <c r="E94" i="10"/>
  <c r="BC135" i="12" s="1"/>
  <c r="BA18" i="26" s="1"/>
  <c r="BC134" i="12"/>
  <c r="Q13" i="26"/>
  <c r="Q14" i="26" s="1"/>
  <c r="S49" i="12"/>
  <c r="BE134" i="12"/>
  <c r="G94" i="10"/>
  <c r="Z33" i="26"/>
  <c r="AS48" i="12"/>
  <c r="M111" i="10"/>
  <c r="BK170" i="12" s="1"/>
  <c r="BI28" i="26" s="1"/>
  <c r="I94" i="10"/>
  <c r="BG135" i="12" s="1"/>
  <c r="BE18" i="26" s="1"/>
  <c r="BG134" i="12"/>
  <c r="G41" i="17"/>
  <c r="F43" i="17"/>
  <c r="H74" i="8"/>
  <c r="V151" i="12" s="1"/>
  <c r="V135" i="12"/>
  <c r="T18" i="26" s="1"/>
  <c r="AD91" i="12"/>
  <c r="AB16" i="26" s="1"/>
  <c r="J49" i="12"/>
  <c r="H13" i="26"/>
  <c r="H14" i="26" s="1"/>
  <c r="H89" i="8"/>
  <c r="V170" i="12" s="1"/>
  <c r="T28" i="26" s="1"/>
  <c r="V168" i="12"/>
  <c r="T26" i="26" s="1"/>
  <c r="H25" i="6"/>
  <c r="AT48" i="12" s="1"/>
  <c r="I106" i="6"/>
  <c r="AU170" i="12" s="1"/>
  <c r="AS28" i="26" s="1"/>
  <c r="L24" i="7"/>
  <c r="AL48" i="12" s="1"/>
  <c r="AL134" i="12"/>
  <c r="L83" i="7"/>
  <c r="AM46" i="12"/>
  <c r="AK11" i="26" s="1"/>
  <c r="M24" i="7"/>
  <c r="AM134" i="12"/>
  <c r="M83" i="7"/>
  <c r="L111" i="10"/>
  <c r="BJ170" i="12" s="1"/>
  <c r="BH28" i="26" s="1"/>
  <c r="D99" i="10"/>
  <c r="BB135" i="12"/>
  <c r="AZ18" i="26" s="1"/>
  <c r="E74" i="8"/>
  <c r="S135" i="12"/>
  <c r="Q18" i="26" s="1"/>
  <c r="P170" i="12"/>
  <c r="N28" i="26" s="1"/>
  <c r="U151" i="12"/>
  <c r="N60" i="9"/>
  <c r="D151" i="12"/>
  <c r="Z13" i="26"/>
  <c r="AB49" i="12"/>
  <c r="AP46" i="12"/>
  <c r="AN11" i="26" s="1"/>
  <c r="D25" i="6"/>
  <c r="AP48" i="12" s="1"/>
  <c r="AH91" i="12"/>
  <c r="AF16" i="26" s="1"/>
  <c r="C95" i="7"/>
  <c r="AC170" i="12" s="1"/>
  <c r="AA28" i="26" s="1"/>
  <c r="AC168" i="12"/>
  <c r="AA26" i="26" s="1"/>
  <c r="X168" i="12"/>
  <c r="V26" i="26" s="1"/>
  <c r="J89" i="8"/>
  <c r="X170" i="12" s="1"/>
  <c r="V28" i="26" s="1"/>
  <c r="V13" i="26"/>
  <c r="V14" i="26" s="1"/>
  <c r="X49" i="12"/>
  <c r="Z134" i="12"/>
  <c r="L64" i="8"/>
  <c r="AZ13" i="26"/>
  <c r="AZ14" i="26" s="1"/>
  <c r="BB26" i="12"/>
  <c r="BB27" i="12" s="1"/>
  <c r="BB49" i="12"/>
  <c r="V46" i="12"/>
  <c r="T11" i="26" s="1"/>
  <c r="H18" i="8"/>
  <c r="P33" i="26"/>
  <c r="R178" i="12"/>
  <c r="Q33" i="26"/>
  <c r="M23" i="10"/>
  <c r="BK48" i="12" s="1"/>
  <c r="BK26" i="12" s="1"/>
  <c r="BK27" i="12" s="1"/>
  <c r="BK46" i="12"/>
  <c r="BI11" i="26" s="1"/>
  <c r="N110" i="10"/>
  <c r="E19" i="26"/>
  <c r="E20" i="26"/>
  <c r="J85" i="7"/>
  <c r="AJ48" i="12"/>
  <c r="AT13" i="26"/>
  <c r="AT14" i="26" s="1"/>
  <c r="AV49" i="12"/>
  <c r="AV26" i="12"/>
  <c r="AV27" i="12" s="1"/>
  <c r="AY91" i="12"/>
  <c r="AW16" i="26" s="1"/>
  <c r="AX13" i="26"/>
  <c r="AZ26" i="12"/>
  <c r="AZ27" i="12" s="1"/>
  <c r="AZ49" i="12"/>
  <c r="H99" i="10"/>
  <c r="BF91" i="12"/>
  <c r="BD16" i="26" s="1"/>
  <c r="J61" i="9"/>
  <c r="BG13" i="26"/>
  <c r="BG14" i="26" s="1"/>
  <c r="BI49" i="12"/>
  <c r="H24" i="7"/>
  <c r="AH48" i="12" s="1"/>
  <c r="F49" i="12"/>
  <c r="D13" i="26"/>
  <c r="BE168" i="12"/>
  <c r="BC26" i="26" s="1"/>
  <c r="G111" i="10"/>
  <c r="BE170" i="12" s="1"/>
  <c r="BC28" i="26" s="1"/>
  <c r="D95" i="7"/>
  <c r="AD170" i="12" s="1"/>
  <c r="AB28" i="26" s="1"/>
  <c r="AD168" i="12"/>
  <c r="AB26" i="26" s="1"/>
  <c r="AG134" i="12"/>
  <c r="G83" i="7"/>
  <c r="E111" i="10"/>
  <c r="BC170" i="12" s="1"/>
  <c r="BA28" i="26" s="1"/>
  <c r="AY48" i="12"/>
  <c r="E99" i="10"/>
  <c r="BC91" i="12"/>
  <c r="BA16" i="26" s="1"/>
  <c r="F84" i="7"/>
  <c r="AF151" i="12" s="1"/>
  <c r="AF91" i="12"/>
  <c r="AD16" i="26" s="1"/>
  <c r="L168" i="12"/>
  <c r="J26" i="26" s="1"/>
  <c r="J72" i="9"/>
  <c r="L170" i="12" s="1"/>
  <c r="J28" i="26" s="1"/>
  <c r="G27" i="1"/>
  <c r="W168" i="12"/>
  <c r="U26" i="26" s="1"/>
  <c r="I89" i="8"/>
  <c r="W170" i="12" s="1"/>
  <c r="U28" i="26" s="1"/>
  <c r="BD13" i="26"/>
  <c r="BD14" i="26" s="1"/>
  <c r="BF49" i="12"/>
  <c r="BF26" i="12"/>
  <c r="BF27" i="12" s="1"/>
  <c r="C92" i="6"/>
  <c r="AO134" i="12"/>
  <c r="H95" i="7"/>
  <c r="AH170" i="12" s="1"/>
  <c r="AF28" i="26" s="1"/>
  <c r="AH168" i="12"/>
  <c r="AF26" i="26" s="1"/>
  <c r="U46" i="12"/>
  <c r="S11" i="26" s="1"/>
  <c r="D13" i="1" s="1"/>
  <c r="D12" i="1" s="1"/>
  <c r="G18" i="8"/>
  <c r="U48" i="12" s="1"/>
  <c r="AH20" i="26"/>
  <c r="AH19" i="26"/>
  <c r="K95" i="6"/>
  <c r="AW151" i="12" s="1"/>
  <c r="AX91" i="12"/>
  <c r="AV16" i="26" s="1"/>
  <c r="L95" i="6"/>
  <c r="AX151" i="12" s="1"/>
  <c r="AS168" i="12"/>
  <c r="AQ26" i="26" s="1"/>
  <c r="G106" i="6"/>
  <c r="AS170" i="12" s="1"/>
  <c r="AQ28" i="26" s="1"/>
  <c r="C33" i="26"/>
  <c r="E178" i="12"/>
  <c r="T178" i="12"/>
  <c r="F13" i="1"/>
  <c r="C73" i="9"/>
  <c r="E171" i="12" s="1"/>
  <c r="E153" i="12"/>
  <c r="C22" i="26" s="1"/>
  <c r="AH33" i="26"/>
  <c r="AJ178" i="12"/>
  <c r="D74" i="8"/>
  <c r="R135" i="12"/>
  <c r="P18" i="26" s="1"/>
  <c r="N88" i="8"/>
  <c r="P168" i="12"/>
  <c r="N26" i="26" s="1"/>
  <c r="B61" i="9"/>
  <c r="D153" i="12" s="1"/>
  <c r="B22" i="26" s="1"/>
  <c r="K153" i="12"/>
  <c r="I22" i="26" s="1"/>
  <c r="M94" i="10"/>
  <c r="BK134" i="12"/>
  <c r="AG33" i="26"/>
  <c r="AI178" i="12"/>
  <c r="S33" i="26"/>
  <c r="U178" i="12"/>
  <c r="K33" i="26"/>
  <c r="M178" i="12"/>
  <c r="E20" i="19"/>
  <c r="E21" i="19" s="1"/>
  <c r="G177" i="12"/>
  <c r="AX46" i="12"/>
  <c r="AV11" i="26" s="1"/>
  <c r="L25" i="6"/>
  <c r="Z46" i="12"/>
  <c r="X11" i="26" s="1"/>
  <c r="L18" i="8"/>
  <c r="P134" i="12"/>
  <c r="B64" i="8"/>
  <c r="N168" i="12"/>
  <c r="L26" i="26" s="1"/>
  <c r="L72" i="9"/>
  <c r="N170" i="12" s="1"/>
  <c r="L28" i="26" s="1"/>
  <c r="E13" i="26"/>
  <c r="E14" i="26" s="1"/>
  <c r="G49" i="12"/>
  <c r="I75" i="8"/>
  <c r="W48" i="12"/>
  <c r="C18" i="1"/>
  <c r="F75" i="8"/>
  <c r="T151" i="12"/>
  <c r="AS13" i="26"/>
  <c r="AS14" i="26" s="1"/>
  <c r="AU26" i="12"/>
  <c r="AU27" i="12" s="1"/>
  <c r="AU49" i="12"/>
  <c r="AQ134" i="12"/>
  <c r="E92" i="6"/>
  <c r="AH134" i="12"/>
  <c r="H83" i="7"/>
  <c r="AH135" i="12" s="1"/>
  <c r="AF18" i="26" s="1"/>
  <c r="AI46" i="12"/>
  <c r="AG11" i="26" s="1"/>
  <c r="E13" i="1" s="1"/>
  <c r="E12" i="1" s="1"/>
  <c r="I24" i="7"/>
  <c r="AI48" i="12" s="1"/>
  <c r="H111" i="10"/>
  <c r="BF170" i="12" s="1"/>
  <c r="BD28" i="26" s="1"/>
  <c r="K168" i="12"/>
  <c r="I26" i="26" s="1"/>
  <c r="I72" i="9"/>
  <c r="K170" i="12" s="1"/>
  <c r="I28" i="26" s="1"/>
  <c r="BD134" i="12"/>
  <c r="F94" i="10"/>
  <c r="F58" i="20"/>
  <c r="E60" i="20"/>
  <c r="D33" i="26"/>
  <c r="F178" i="12"/>
  <c r="AM33" i="26"/>
  <c r="AO178" i="12"/>
  <c r="BF13" i="26"/>
  <c r="BF14" i="26" s="1"/>
  <c r="BH49" i="12"/>
  <c r="L61" i="9"/>
  <c r="N151" i="12"/>
  <c r="I151" i="12"/>
  <c r="G61" i="9"/>
  <c r="E95" i="7"/>
  <c r="AE170" i="12" s="1"/>
  <c r="AC28" i="26" s="1"/>
  <c r="AE168" i="12"/>
  <c r="AC26" i="26" s="1"/>
  <c r="AK178" i="12"/>
  <c r="AA13" i="26"/>
  <c r="AA14" i="26" s="1"/>
  <c r="AC49" i="12"/>
  <c r="Q134" i="12"/>
  <c r="C64" i="8"/>
  <c r="L89" i="8"/>
  <c r="Z170" i="12" s="1"/>
  <c r="X28" i="26" s="1"/>
  <c r="M72" i="9"/>
  <c r="O170" i="12" s="1"/>
  <c r="M28" i="26" s="1"/>
  <c r="AR168" i="12"/>
  <c r="AP26" i="26" s="1"/>
  <c r="F29" i="1" s="1"/>
  <c r="F106" i="6"/>
  <c r="AR91" i="12"/>
  <c r="AP16" i="26" s="1"/>
  <c r="F95" i="6"/>
  <c r="AR151" i="12" s="1"/>
  <c r="D24" i="7"/>
  <c r="AD48" i="12" s="1"/>
  <c r="AD134" i="12"/>
  <c r="D83" i="7"/>
  <c r="AD135" i="12" s="1"/>
  <c r="AB18" i="26" s="1"/>
  <c r="AE134" i="12"/>
  <c r="E83" i="7"/>
  <c r="R13" i="26"/>
  <c r="R14" i="26" s="1"/>
  <c r="T49" i="12"/>
  <c r="BH134" i="12"/>
  <c r="J94" i="10"/>
  <c r="BH135" i="12" s="1"/>
  <c r="BF18" i="26" s="1"/>
  <c r="D61" i="9"/>
  <c r="F151" i="12"/>
  <c r="F36" i="1"/>
  <c r="F18" i="1"/>
  <c r="E73" i="9"/>
  <c r="G171" i="12" s="1"/>
  <c r="G153" i="12"/>
  <c r="E22" i="26" s="1"/>
  <c r="N52" i="9"/>
  <c r="D135" i="12"/>
  <c r="B18" i="26" s="1"/>
  <c r="C20" i="1" s="1"/>
  <c r="D27" i="16"/>
  <c r="D28" i="16" s="1"/>
  <c r="AP177" i="12"/>
  <c r="E25" i="17"/>
  <c r="E26" i="17" s="1"/>
  <c r="AE177" i="12"/>
  <c r="D27" i="20"/>
  <c r="D34" i="20" s="1"/>
  <c r="N36" i="25"/>
  <c r="AB174" i="12"/>
  <c r="Z32" i="26" s="1"/>
  <c r="E36" i="1" s="1"/>
  <c r="D7" i="1"/>
  <c r="AY134" i="12"/>
  <c r="M92" i="6"/>
  <c r="AY135" i="12" s="1"/>
  <c r="AW18" i="26" s="1"/>
  <c r="L23" i="10"/>
  <c r="BJ48" i="12" s="1"/>
  <c r="BJ26" i="12" s="1"/>
  <c r="BJ27" i="12" s="1"/>
  <c r="D89" i="8"/>
  <c r="R170" i="12" s="1"/>
  <c r="P28" i="26" s="1"/>
  <c r="R168" i="12"/>
  <c r="P26" i="26" s="1"/>
  <c r="E17" i="18"/>
  <c r="D18" i="18"/>
  <c r="D22" i="18" s="1"/>
  <c r="D23" i="18" s="1"/>
  <c r="O33" i="26"/>
  <c r="Q178" i="12"/>
  <c r="I99" i="10"/>
  <c r="BG91" i="12"/>
  <c r="BE16" i="26" s="1"/>
  <c r="K74" i="8"/>
  <c r="Y135" i="12"/>
  <c r="W18" i="26" s="1"/>
  <c r="AG48" i="12"/>
  <c r="AO13" i="26"/>
  <c r="AO14" i="26" s="1"/>
  <c r="AQ26" i="12"/>
  <c r="AQ27" i="12" s="1"/>
  <c r="AQ49" i="12"/>
  <c r="F96" i="6"/>
  <c r="AR48" i="12"/>
  <c r="U19" i="26"/>
  <c r="U20" i="26"/>
  <c r="K96" i="6"/>
  <c r="AW48" i="12"/>
  <c r="BC13" i="26"/>
  <c r="BC14" i="26" s="1"/>
  <c r="BE26" i="12"/>
  <c r="BE27" i="12" s="1"/>
  <c r="BE49" i="12"/>
  <c r="F60" i="19"/>
  <c r="E62" i="19"/>
  <c r="E66" i="19" s="1"/>
  <c r="E69" i="19" s="1"/>
  <c r="T168" i="12"/>
  <c r="R26" i="26" s="1"/>
  <c r="F89" i="8"/>
  <c r="T170" i="12" s="1"/>
  <c r="R28" i="26" s="1"/>
  <c r="AU134" i="12"/>
  <c r="I92" i="6"/>
  <c r="BA13" i="26"/>
  <c r="BA14" i="26" s="1"/>
  <c r="BC49" i="12"/>
  <c r="BC26" i="12"/>
  <c r="BC27" i="12" s="1"/>
  <c r="AC134" i="12"/>
  <c r="C83" i="7"/>
  <c r="L95" i="7"/>
  <c r="AL170" i="12" s="1"/>
  <c r="AJ28" i="26" s="1"/>
  <c r="AL168" i="12"/>
  <c r="AJ26" i="26" s="1"/>
  <c r="C23" i="10"/>
  <c r="I95" i="7"/>
  <c r="AI170" i="12" s="1"/>
  <c r="AG28" i="26" s="1"/>
  <c r="AI168" i="12"/>
  <c r="AG26" i="26" s="1"/>
  <c r="L99" i="10"/>
  <c r="BJ135" i="12"/>
  <c r="BH18" i="26" s="1"/>
  <c r="N63" i="8"/>
  <c r="AK48" i="12"/>
  <c r="K95" i="7"/>
  <c r="AK170" i="12" s="1"/>
  <c r="AI28" i="26" s="1"/>
  <c r="AK168" i="12"/>
  <c r="AI26" i="26" s="1"/>
  <c r="AA33" i="26"/>
  <c r="AC178" i="12"/>
  <c r="O13" i="26"/>
  <c r="O14" i="26" s="1"/>
  <c r="Q49" i="12"/>
  <c r="F19" i="26"/>
  <c r="H153" i="12"/>
  <c r="F22" i="26" s="1"/>
  <c r="G95" i="7"/>
  <c r="AG170" i="12" s="1"/>
  <c r="AE28" i="26" s="1"/>
  <c r="AG168" i="12"/>
  <c r="AE26" i="26" s="1"/>
  <c r="H168" i="12"/>
  <c r="F26" i="26" s="1"/>
  <c r="C29" i="1" s="1"/>
  <c r="F72" i="9"/>
  <c r="H170" i="12" s="1"/>
  <c r="F28" i="26" s="1"/>
  <c r="BH168" i="12"/>
  <c r="BF26" i="26" s="1"/>
  <c r="J111" i="10"/>
  <c r="BH170" i="12" s="1"/>
  <c r="BF28" i="26" s="1"/>
  <c r="M19" i="26"/>
  <c r="J19" i="26"/>
  <c r="BA91" i="12"/>
  <c r="AY16" i="26" s="1"/>
  <c r="G18" i="1" s="1"/>
  <c r="C99" i="10"/>
  <c r="J95" i="6"/>
  <c r="AV135" i="12"/>
  <c r="AT18" i="26" s="1"/>
  <c r="Y168" i="12"/>
  <c r="W26" i="26" s="1"/>
  <c r="K89" i="8"/>
  <c r="Y170" i="12" s="1"/>
  <c r="W28" i="26" s="1"/>
  <c r="K61" i="9"/>
  <c r="M151" i="12"/>
  <c r="X91" i="12"/>
  <c r="V16" i="26" s="1"/>
  <c r="D18" i="1" s="1"/>
  <c r="J74" i="8"/>
  <c r="F85" i="7"/>
  <c r="AF48" i="12"/>
  <c r="K84" i="7"/>
  <c r="AK151" i="12" s="1"/>
  <c r="AT134" i="12"/>
  <c r="H92" i="6"/>
  <c r="G89" i="8"/>
  <c r="U170" i="12" s="1"/>
  <c r="S28" i="26" s="1"/>
  <c r="AA168" i="12"/>
  <c r="Y26" i="26" s="1"/>
  <c r="M89" i="8"/>
  <c r="AA170" i="12" s="1"/>
  <c r="Y28" i="26" s="1"/>
  <c r="I23" i="10"/>
  <c r="BG48" i="12" s="1"/>
  <c r="D111" i="10"/>
  <c r="M95" i="7"/>
  <c r="AM170" i="12" s="1"/>
  <c r="AK28" i="26" s="1"/>
  <c r="AM168" i="12"/>
  <c r="AK26" i="26" s="1"/>
  <c r="G92" i="6"/>
  <c r="AS134" i="12"/>
  <c r="BJ24" i="26"/>
  <c r="C7" i="1"/>
  <c r="D11" i="1"/>
  <c r="BR147" i="12"/>
  <c r="BS147" i="12" s="1"/>
  <c r="BS149" i="12"/>
  <c r="BT149" i="12" s="1"/>
  <c r="BU149" i="12" s="1"/>
  <c r="B36" i="24"/>
  <c r="N28" i="24"/>
  <c r="B29" i="23"/>
  <c r="N20" i="23"/>
  <c r="E38" i="22"/>
  <c r="N27" i="22"/>
  <c r="F88" i="20"/>
  <c r="G86" i="20"/>
  <c r="F29" i="20"/>
  <c r="E31" i="20"/>
  <c r="E33" i="20" s="1"/>
  <c r="F69" i="20"/>
  <c r="E71" i="20"/>
  <c r="E79" i="20" s="1"/>
  <c r="E20" i="20"/>
  <c r="F19" i="20"/>
  <c r="F43" i="20"/>
  <c r="G103" i="20"/>
  <c r="F105" i="20"/>
  <c r="E26" i="20"/>
  <c r="F22" i="20"/>
  <c r="E113" i="20"/>
  <c r="F96" i="20"/>
  <c r="G99" i="20"/>
  <c r="F102" i="20"/>
  <c r="G98" i="20"/>
  <c r="F89" i="20"/>
  <c r="E91" i="20"/>
  <c r="L56" i="20"/>
  <c r="M54" i="20"/>
  <c r="M56" i="20" s="1"/>
  <c r="F82" i="20"/>
  <c r="D57" i="20"/>
  <c r="D62" i="20" s="1"/>
  <c r="D80" i="20" s="1"/>
  <c r="E44" i="20"/>
  <c r="F64" i="20"/>
  <c r="E83" i="20"/>
  <c r="D85" i="20"/>
  <c r="D92" i="20" s="1"/>
  <c r="D93" i="20" s="1"/>
  <c r="H77" i="20"/>
  <c r="I73" i="20"/>
  <c r="L37" i="19"/>
  <c r="I65" i="19"/>
  <c r="J63" i="19"/>
  <c r="G29" i="19"/>
  <c r="F32" i="19"/>
  <c r="F34" i="19" s="1"/>
  <c r="L13" i="19"/>
  <c r="N177" i="12" s="1"/>
  <c r="M10" i="19"/>
  <c r="M13" i="19" s="1"/>
  <c r="O177" i="12" s="1"/>
  <c r="G36" i="19"/>
  <c r="F47" i="19"/>
  <c r="M58" i="19"/>
  <c r="E53" i="19"/>
  <c r="E54" i="19" s="1"/>
  <c r="E55" i="19" s="1"/>
  <c r="E70" i="19" s="1"/>
  <c r="F50" i="19"/>
  <c r="H40" i="19"/>
  <c r="I38" i="19"/>
  <c r="F16" i="19"/>
  <c r="F20" i="19" s="1"/>
  <c r="F21" i="19" s="1"/>
  <c r="G15" i="19"/>
  <c r="G27" i="19"/>
  <c r="H26" i="19"/>
  <c r="G45" i="19"/>
  <c r="H41" i="19"/>
  <c r="J59" i="19"/>
  <c r="D85" i="18"/>
  <c r="I45" i="18"/>
  <c r="H47" i="18"/>
  <c r="F70" i="18"/>
  <c r="G58" i="18"/>
  <c r="F53" i="18"/>
  <c r="F55" i="18" s="1"/>
  <c r="G49" i="18"/>
  <c r="G78" i="18"/>
  <c r="H76" i="18"/>
  <c r="L34" i="18"/>
  <c r="M31" i="18"/>
  <c r="M34" i="18" s="1"/>
  <c r="F37" i="18"/>
  <c r="F39" i="18" s="1"/>
  <c r="G35" i="18"/>
  <c r="K62" i="18"/>
  <c r="J64" i="18"/>
  <c r="K61" i="18"/>
  <c r="L59" i="18"/>
  <c r="F71" i="18"/>
  <c r="F72" i="18"/>
  <c r="E75" i="18"/>
  <c r="E79" i="18" s="1"/>
  <c r="E84" i="18" s="1"/>
  <c r="F62" i="18"/>
  <c r="E64" i="18"/>
  <c r="E66" i="18" s="1"/>
  <c r="E67" i="18" s="1"/>
  <c r="E68" i="18" s="1"/>
  <c r="I9" i="18"/>
  <c r="H15" i="18"/>
  <c r="V177" i="12" s="1"/>
  <c r="F16" i="17"/>
  <c r="AF177" i="12" s="1"/>
  <c r="G9" i="17"/>
  <c r="G16" i="17" s="1"/>
  <c r="AG177" i="12" s="1"/>
  <c r="D74" i="17"/>
  <c r="E72" i="17"/>
  <c r="D75" i="17"/>
  <c r="D76" i="17" s="1"/>
  <c r="E95" i="17"/>
  <c r="F79" i="17"/>
  <c r="F19" i="17"/>
  <c r="G18" i="17"/>
  <c r="D62" i="17"/>
  <c r="E47" i="17"/>
  <c r="G80" i="17"/>
  <c r="G87" i="17"/>
  <c r="H85" i="17"/>
  <c r="E35" i="17"/>
  <c r="D40" i="17"/>
  <c r="D45" i="17" s="1"/>
  <c r="F71" i="17"/>
  <c r="G69" i="17"/>
  <c r="H56" i="17"/>
  <c r="G60" i="17"/>
  <c r="F84" i="17"/>
  <c r="F88" i="17" s="1"/>
  <c r="G81" i="17"/>
  <c r="G65" i="17"/>
  <c r="F52" i="17"/>
  <c r="E54" i="17"/>
  <c r="I74" i="17"/>
  <c r="J72" i="17"/>
  <c r="C63" i="17"/>
  <c r="C77" i="17" s="1"/>
  <c r="C96" i="17" s="1"/>
  <c r="E68" i="17"/>
  <c r="F66" i="17"/>
  <c r="G75" i="16"/>
  <c r="F77" i="16"/>
  <c r="K80" i="16"/>
  <c r="L78" i="16"/>
  <c r="J44" i="16"/>
  <c r="J45" i="16" s="1"/>
  <c r="I45" i="16"/>
  <c r="M71" i="16"/>
  <c r="I86" i="16"/>
  <c r="F49" i="16"/>
  <c r="G47" i="16"/>
  <c r="E37" i="16"/>
  <c r="D46" i="16"/>
  <c r="D51" i="16" s="1"/>
  <c r="D69" i="16" s="1"/>
  <c r="D83" i="16" s="1"/>
  <c r="D102" i="16" s="1"/>
  <c r="G90" i="16"/>
  <c r="H87" i="16"/>
  <c r="G91" i="16"/>
  <c r="F93" i="16"/>
  <c r="F19" i="16"/>
  <c r="E20" i="16"/>
  <c r="F58" i="16"/>
  <c r="E60" i="16"/>
  <c r="E68" i="16" s="1"/>
  <c r="H66" i="16"/>
  <c r="I62" i="16"/>
  <c r="E74" i="16"/>
  <c r="E81" i="16" s="1"/>
  <c r="E82" i="16" s="1"/>
  <c r="F72" i="16"/>
  <c r="F10" i="16"/>
  <c r="E17" i="16"/>
  <c r="AQ177" i="12" s="1"/>
  <c r="I26" i="16"/>
  <c r="J22" i="16"/>
  <c r="E35" i="16"/>
  <c r="F34" i="16"/>
  <c r="F94" i="16"/>
  <c r="F101" i="16" s="1"/>
  <c r="K53" i="16"/>
  <c r="I85" i="16"/>
  <c r="N93" i="10"/>
  <c r="B94" i="10"/>
  <c r="AZ135" i="12" s="1"/>
  <c r="AX18" i="26" s="1"/>
  <c r="N61" i="9"/>
  <c r="N71" i="9"/>
  <c r="B72" i="9"/>
  <c r="N64" i="8"/>
  <c r="N18" i="8"/>
  <c r="B95" i="7"/>
  <c r="N94" i="7"/>
  <c r="N82" i="7"/>
  <c r="B83" i="7"/>
  <c r="AB135" i="12" s="1"/>
  <c r="Z18" i="26" s="1"/>
  <c r="N24" i="7"/>
  <c r="N58" i="6"/>
  <c r="B95" i="6"/>
  <c r="N24" i="6"/>
  <c r="B25" i="6"/>
  <c r="AN48" i="12" s="1"/>
  <c r="F56" i="18" l="1"/>
  <c r="F73" i="9"/>
  <c r="H171" i="12" s="1"/>
  <c r="G29" i="1"/>
  <c r="E29" i="1"/>
  <c r="AL13" i="26"/>
  <c r="AN49" i="12"/>
  <c r="AN26" i="12"/>
  <c r="AN27" i="12" s="1"/>
  <c r="N95" i="7"/>
  <c r="AB170" i="12"/>
  <c r="Z28" i="26" s="1"/>
  <c r="E31" i="1" s="1"/>
  <c r="N72" i="9"/>
  <c r="D170" i="12"/>
  <c r="B28" i="26" s="1"/>
  <c r="C31" i="1" s="1"/>
  <c r="AO33" i="26"/>
  <c r="AQ178" i="12"/>
  <c r="L33" i="26"/>
  <c r="N178" i="12"/>
  <c r="F106" i="20"/>
  <c r="N36" i="24"/>
  <c r="AZ174" i="12"/>
  <c r="AX32" i="26" s="1"/>
  <c r="G36" i="1" s="1"/>
  <c r="AD13" i="26"/>
  <c r="AD14" i="26" s="1"/>
  <c r="AF49" i="12"/>
  <c r="AC135" i="12"/>
  <c r="AA18" i="26" s="1"/>
  <c r="C84" i="7"/>
  <c r="I100" i="10"/>
  <c r="BG151" i="12"/>
  <c r="F17" i="18"/>
  <c r="E18" i="18"/>
  <c r="E22" i="18" s="1"/>
  <c r="E23" i="18" s="1"/>
  <c r="AN33" i="26"/>
  <c r="AP178" i="12"/>
  <c r="D20" i="26"/>
  <c r="D19" i="26"/>
  <c r="G73" i="9"/>
  <c r="I171" i="12" s="1"/>
  <c r="I153" i="12"/>
  <c r="G22" i="26" s="1"/>
  <c r="G58" i="20"/>
  <c r="F60" i="20"/>
  <c r="F90" i="8"/>
  <c r="T171" i="12" s="1"/>
  <c r="T153" i="12"/>
  <c r="R22" i="26" s="1"/>
  <c r="P135" i="12"/>
  <c r="N18" i="26" s="1"/>
  <c r="B74" i="8"/>
  <c r="AX48" i="12"/>
  <c r="L96" i="6"/>
  <c r="D29" i="1"/>
  <c r="F12" i="1"/>
  <c r="AU19" i="26"/>
  <c r="AU20" i="26"/>
  <c r="AO135" i="12"/>
  <c r="AM18" i="26" s="1"/>
  <c r="C95" i="6"/>
  <c r="N92" i="6"/>
  <c r="E100" i="10"/>
  <c r="BC151" i="12"/>
  <c r="AG135" i="12"/>
  <c r="AE18" i="26" s="1"/>
  <c r="G84" i="7"/>
  <c r="AF13" i="26"/>
  <c r="AF14" i="26" s="1"/>
  <c r="AH49" i="12"/>
  <c r="AX14" i="26"/>
  <c r="BI13" i="26"/>
  <c r="BI14" i="26" s="1"/>
  <c r="BK49" i="12"/>
  <c r="AN13" i="26"/>
  <c r="AN14" i="26" s="1"/>
  <c r="AP26" i="12"/>
  <c r="AP27" i="12" s="1"/>
  <c r="AP49" i="12"/>
  <c r="B20" i="26"/>
  <c r="B19" i="26"/>
  <c r="D31" i="1"/>
  <c r="T19" i="26"/>
  <c r="T20" i="26"/>
  <c r="N14" i="26"/>
  <c r="AE33" i="26"/>
  <c r="AG178" i="12"/>
  <c r="AH178" i="12"/>
  <c r="T33" i="26"/>
  <c r="V178" i="12"/>
  <c r="N38" i="22"/>
  <c r="S174" i="12"/>
  <c r="BB170" i="12"/>
  <c r="AZ28" i="26" s="1"/>
  <c r="G31" i="1" s="1"/>
  <c r="N111" i="10"/>
  <c r="K20" i="26"/>
  <c r="K19" i="26"/>
  <c r="AN151" i="12"/>
  <c r="F48" i="19"/>
  <c r="D94" i="20"/>
  <c r="D114" i="20" s="1"/>
  <c r="G95" i="6"/>
  <c r="AS135" i="12"/>
  <c r="AQ18" i="26" s="1"/>
  <c r="BE13" i="26"/>
  <c r="BE14" i="26" s="1"/>
  <c r="BG26" i="12"/>
  <c r="BG27" i="12" s="1"/>
  <c r="BG49" i="12"/>
  <c r="AT135" i="12"/>
  <c r="AR18" i="26" s="1"/>
  <c r="H95" i="6"/>
  <c r="F96" i="7"/>
  <c r="AF171" i="12" s="1"/>
  <c r="AF153" i="12"/>
  <c r="AD22" i="26" s="1"/>
  <c r="K73" i="9"/>
  <c r="M171" i="12" s="1"/>
  <c r="M153" i="12"/>
  <c r="K22" i="26" s="1"/>
  <c r="AV151" i="12"/>
  <c r="J96" i="6"/>
  <c r="BA48" i="12"/>
  <c r="N23" i="10"/>
  <c r="AU135" i="12"/>
  <c r="AS18" i="26" s="1"/>
  <c r="I95" i="6"/>
  <c r="E29" i="26"/>
  <c r="G175" i="12"/>
  <c r="D73" i="9"/>
  <c r="F171" i="12" s="1"/>
  <c r="F153" i="12"/>
  <c r="D22" i="26" s="1"/>
  <c r="AR170" i="12"/>
  <c r="AP28" i="26" s="1"/>
  <c r="F31" i="1" s="1"/>
  <c r="N106" i="6"/>
  <c r="Q135" i="12"/>
  <c r="O18" i="26" s="1"/>
  <c r="C74" i="8"/>
  <c r="G20" i="26"/>
  <c r="G19" i="26"/>
  <c r="F99" i="10"/>
  <c r="BD135" i="12"/>
  <c r="BB18" i="26" s="1"/>
  <c r="I73" i="9"/>
  <c r="K171" i="12" s="1"/>
  <c r="AW13" i="26"/>
  <c r="AW14" i="26" s="1"/>
  <c r="AY49" i="12"/>
  <c r="AY26" i="12"/>
  <c r="AY27" i="12" s="1"/>
  <c r="H100" i="10"/>
  <c r="BF151" i="12"/>
  <c r="V48" i="12"/>
  <c r="H75" i="8"/>
  <c r="N89" i="8"/>
  <c r="D100" i="10"/>
  <c r="BB151" i="12"/>
  <c r="AM48" i="12"/>
  <c r="AJ13" i="26"/>
  <c r="AJ14" i="26" s="1"/>
  <c r="AL49" i="12"/>
  <c r="AL26" i="12"/>
  <c r="AL27" i="12" s="1"/>
  <c r="D84" i="7"/>
  <c r="AI135" i="12"/>
  <c r="AG18" i="26" s="1"/>
  <c r="I84" i="7"/>
  <c r="AA151" i="12"/>
  <c r="M75" i="8"/>
  <c r="AP135" i="12"/>
  <c r="AN18" i="26" s="1"/>
  <c r="D95" i="6"/>
  <c r="J75" i="8"/>
  <c r="X151" i="12"/>
  <c r="F29" i="26"/>
  <c r="H175" i="12"/>
  <c r="AI13" i="26"/>
  <c r="AI14" i="26" s="1"/>
  <c r="AK49" i="12"/>
  <c r="AK26" i="12"/>
  <c r="AK27" i="12" s="1"/>
  <c r="L100" i="10"/>
  <c r="BJ151" i="12"/>
  <c r="G60" i="19"/>
  <c r="F62" i="19"/>
  <c r="F66" i="19" s="1"/>
  <c r="F69" i="19" s="1"/>
  <c r="AU13" i="26"/>
  <c r="AU14" i="26" s="1"/>
  <c r="AW49" i="12"/>
  <c r="AW26" i="12"/>
  <c r="AW27" i="12" s="1"/>
  <c r="AP13" i="26"/>
  <c r="AP14" i="26" s="1"/>
  <c r="AR49" i="12"/>
  <c r="AR26" i="12"/>
  <c r="AR27" i="12" s="1"/>
  <c r="Y151" i="12"/>
  <c r="K75" i="8"/>
  <c r="AC33" i="26"/>
  <c r="AE178" i="12"/>
  <c r="AE135" i="12"/>
  <c r="AC18" i="26" s="1"/>
  <c r="E84" i="7"/>
  <c r="AB13" i="26"/>
  <c r="AB14" i="26" s="1"/>
  <c r="AD49" i="12"/>
  <c r="L20" i="26"/>
  <c r="L19" i="26"/>
  <c r="AG13" i="26"/>
  <c r="AG14" i="26" s="1"/>
  <c r="AI26" i="12"/>
  <c r="AI27" i="12" s="1"/>
  <c r="AI49" i="12"/>
  <c r="AQ135" i="12"/>
  <c r="AO18" i="26" s="1"/>
  <c r="E95" i="6"/>
  <c r="U13" i="26"/>
  <c r="U14" i="26" s="1"/>
  <c r="W49" i="12"/>
  <c r="Z48" i="12"/>
  <c r="E33" i="26"/>
  <c r="G178" i="12"/>
  <c r="H178" i="12"/>
  <c r="AV19" i="26"/>
  <c r="AV20" i="26"/>
  <c r="AD20" i="26"/>
  <c r="AD19" i="26"/>
  <c r="D14" i="26"/>
  <c r="C15" i="1"/>
  <c r="M95" i="6"/>
  <c r="AH13" i="26"/>
  <c r="AH14" i="26" s="1"/>
  <c r="AJ26" i="12"/>
  <c r="AJ27" i="12" s="1"/>
  <c r="AJ49" i="12"/>
  <c r="Z135" i="12"/>
  <c r="X18" i="26" s="1"/>
  <c r="L74" i="8"/>
  <c r="Z151" i="12" s="1"/>
  <c r="H84" i="7"/>
  <c r="S20" i="26"/>
  <c r="S19" i="26"/>
  <c r="E18" i="1"/>
  <c r="G43" i="17"/>
  <c r="H41" i="17"/>
  <c r="AQ13" i="26"/>
  <c r="AQ14" i="26" s="1"/>
  <c r="AS26" i="12"/>
  <c r="AS27" i="12" s="1"/>
  <c r="AS49" i="12"/>
  <c r="G99" i="10"/>
  <c r="BE135" i="12"/>
  <c r="BC18" i="26" s="1"/>
  <c r="H20" i="26"/>
  <c r="H19" i="26"/>
  <c r="K100" i="10"/>
  <c r="BI151" i="12"/>
  <c r="G13" i="1"/>
  <c r="G12" i="1" s="1"/>
  <c r="M73" i="9"/>
  <c r="O171" i="12" s="1"/>
  <c r="N29" i="23"/>
  <c r="D174" i="12"/>
  <c r="B32" i="26" s="1"/>
  <c r="C36" i="1" s="1"/>
  <c r="D63" i="17"/>
  <c r="D77" i="17" s="1"/>
  <c r="D96" i="17" s="1"/>
  <c r="AD33" i="26"/>
  <c r="AF178" i="12"/>
  <c r="M33" i="26"/>
  <c r="C37" i="1" s="1"/>
  <c r="O178" i="12"/>
  <c r="P178" i="12"/>
  <c r="AI20" i="26"/>
  <c r="AI19" i="26"/>
  <c r="C100" i="10"/>
  <c r="BA151" i="12"/>
  <c r="K85" i="7"/>
  <c r="K107" i="6"/>
  <c r="AW171" i="12" s="1"/>
  <c r="AW153" i="12"/>
  <c r="AU22" i="26" s="1"/>
  <c r="F107" i="6"/>
  <c r="AR171" i="12" s="1"/>
  <c r="AR153" i="12"/>
  <c r="AP22" i="26" s="1"/>
  <c r="AE13" i="26"/>
  <c r="AE14" i="26" s="1"/>
  <c r="AG49" i="12"/>
  <c r="BH13" i="26"/>
  <c r="BH14" i="26" s="1"/>
  <c r="BJ49" i="12"/>
  <c r="AP19" i="26"/>
  <c r="AP20" i="26"/>
  <c r="L73" i="9"/>
  <c r="N171" i="12" s="1"/>
  <c r="N153" i="12"/>
  <c r="L22" i="26" s="1"/>
  <c r="R19" i="26"/>
  <c r="R20" i="26"/>
  <c r="I90" i="8"/>
  <c r="W171" i="12" s="1"/>
  <c r="W153" i="12"/>
  <c r="U22" i="26" s="1"/>
  <c r="M99" i="10"/>
  <c r="BK135" i="12"/>
  <c r="BI18" i="26" s="1"/>
  <c r="G20" i="1" s="1"/>
  <c r="D75" i="8"/>
  <c r="R151" i="12"/>
  <c r="C29" i="26"/>
  <c r="E175" i="12"/>
  <c r="S13" i="26"/>
  <c r="S14" i="26" s="1"/>
  <c r="U49" i="12"/>
  <c r="L153" i="12"/>
  <c r="J22" i="26" s="1"/>
  <c r="J73" i="9"/>
  <c r="L171" i="12" s="1"/>
  <c r="J96" i="7"/>
  <c r="AJ171" i="12" s="1"/>
  <c r="AJ153" i="12"/>
  <c r="AH22" i="26" s="1"/>
  <c r="Z14" i="26"/>
  <c r="G75" i="8"/>
  <c r="E75" i="8"/>
  <c r="S151" i="12"/>
  <c r="AM135" i="12"/>
  <c r="AK18" i="26" s="1"/>
  <c r="M84" i="7"/>
  <c r="AM151" i="12" s="1"/>
  <c r="L84" i="7"/>
  <c r="AL135" i="12"/>
  <c r="AJ18" i="26" s="1"/>
  <c r="AR13" i="26"/>
  <c r="AR14" i="26" s="1"/>
  <c r="AT26" i="12"/>
  <c r="AT27" i="12" s="1"/>
  <c r="AT49" i="12"/>
  <c r="H73" i="9"/>
  <c r="J171" i="12" s="1"/>
  <c r="J153" i="12"/>
  <c r="H22" i="26" s="1"/>
  <c r="C24" i="1" s="1"/>
  <c r="J99" i="10"/>
  <c r="BR167" i="12"/>
  <c r="BS167" i="12" s="1"/>
  <c r="BM24" i="26"/>
  <c r="BK24" i="26"/>
  <c r="BR146" i="12"/>
  <c r="BV149" i="12"/>
  <c r="BW149" i="12" s="1"/>
  <c r="BT147" i="12"/>
  <c r="BU147" i="12" s="1"/>
  <c r="BV147" i="12" s="1"/>
  <c r="G22" i="20"/>
  <c r="F26" i="20"/>
  <c r="F20" i="20"/>
  <c r="G19" i="20"/>
  <c r="F31" i="20"/>
  <c r="F33" i="20" s="1"/>
  <c r="G29" i="20"/>
  <c r="E57" i="20"/>
  <c r="E62" i="20" s="1"/>
  <c r="E80" i="20" s="1"/>
  <c r="F44" i="20"/>
  <c r="F113" i="20"/>
  <c r="G96" i="20"/>
  <c r="G43" i="20"/>
  <c r="H86" i="20"/>
  <c r="G88" i="20"/>
  <c r="J73" i="20"/>
  <c r="I77" i="20"/>
  <c r="G82" i="20"/>
  <c r="G64" i="20"/>
  <c r="F91" i="20"/>
  <c r="G89" i="20"/>
  <c r="H99" i="20"/>
  <c r="G102" i="20"/>
  <c r="E27" i="20"/>
  <c r="E34" i="20" s="1"/>
  <c r="E85" i="20"/>
  <c r="E92" i="20" s="1"/>
  <c r="E93" i="20" s="1"/>
  <c r="F83" i="20"/>
  <c r="H98" i="20"/>
  <c r="H103" i="20"/>
  <c r="G105" i="20"/>
  <c r="G69" i="20"/>
  <c r="F71" i="20"/>
  <c r="F79" i="20" s="1"/>
  <c r="I26" i="19"/>
  <c r="H27" i="19"/>
  <c r="K59" i="19"/>
  <c r="J38" i="19"/>
  <c r="I40" i="19"/>
  <c r="G32" i="19"/>
  <c r="G34" i="19" s="1"/>
  <c r="H29" i="19"/>
  <c r="H45" i="19"/>
  <c r="I41" i="19"/>
  <c r="M37" i="19"/>
  <c r="G47" i="19"/>
  <c r="H36" i="19"/>
  <c r="H15" i="19"/>
  <c r="G16" i="19"/>
  <c r="G20" i="19" s="1"/>
  <c r="G21" i="19" s="1"/>
  <c r="F53" i="19"/>
  <c r="F54" i="19" s="1"/>
  <c r="F55" i="19" s="1"/>
  <c r="F70" i="19" s="1"/>
  <c r="G50" i="19"/>
  <c r="K63" i="19"/>
  <c r="J65" i="19"/>
  <c r="E85" i="18"/>
  <c r="J45" i="18"/>
  <c r="I47" i="18"/>
  <c r="G62" i="18"/>
  <c r="G64" i="18" s="1"/>
  <c r="F64" i="18"/>
  <c r="F66" i="18" s="1"/>
  <c r="F67" i="18" s="1"/>
  <c r="F68" i="18" s="1"/>
  <c r="M59" i="18"/>
  <c r="M61" i="18" s="1"/>
  <c r="L61" i="18"/>
  <c r="H49" i="18"/>
  <c r="G53" i="18"/>
  <c r="G55" i="18" s="1"/>
  <c r="G70" i="18"/>
  <c r="I15" i="18"/>
  <c r="W177" i="12" s="1"/>
  <c r="J9" i="18"/>
  <c r="F75" i="18"/>
  <c r="F79" i="18" s="1"/>
  <c r="F84" i="18" s="1"/>
  <c r="G72" i="18"/>
  <c r="H35" i="18"/>
  <c r="G37" i="18"/>
  <c r="G39" i="18" s="1"/>
  <c r="I76" i="18"/>
  <c r="H78" i="18"/>
  <c r="G71" i="18"/>
  <c r="K64" i="18"/>
  <c r="L62" i="18"/>
  <c r="G66" i="18"/>
  <c r="G67" i="18" s="1"/>
  <c r="H58" i="18"/>
  <c r="K72" i="17"/>
  <c r="J74" i="17"/>
  <c r="F72" i="17"/>
  <c r="F74" i="17" s="1"/>
  <c r="E74" i="17"/>
  <c r="E75" i="17" s="1"/>
  <c r="E76" i="17" s="1"/>
  <c r="H69" i="17"/>
  <c r="G71" i="17"/>
  <c r="H87" i="17"/>
  <c r="I85" i="17"/>
  <c r="E62" i="17"/>
  <c r="F47" i="17"/>
  <c r="G79" i="17"/>
  <c r="F95" i="17"/>
  <c r="F68" i="17"/>
  <c r="G66" i="17"/>
  <c r="H65" i="17"/>
  <c r="H60" i="17"/>
  <c r="I56" i="17"/>
  <c r="E40" i="17"/>
  <c r="E45" i="17" s="1"/>
  <c r="F35" i="17"/>
  <c r="G84" i="17"/>
  <c r="G88" i="17" s="1"/>
  <c r="H81" i="17"/>
  <c r="G52" i="17"/>
  <c r="F54" i="17"/>
  <c r="H80" i="17"/>
  <c r="H18" i="17"/>
  <c r="G19" i="17"/>
  <c r="G25" i="17" s="1"/>
  <c r="G26" i="17" s="1"/>
  <c r="F25" i="17"/>
  <c r="F26" i="17" s="1"/>
  <c r="G49" i="16"/>
  <c r="H47" i="16"/>
  <c r="L53" i="16"/>
  <c r="K22" i="16"/>
  <c r="J26" i="16"/>
  <c r="F20" i="16"/>
  <c r="G19" i="16"/>
  <c r="I66" i="16"/>
  <c r="J62" i="16"/>
  <c r="M78" i="16"/>
  <c r="M80" i="16" s="1"/>
  <c r="L80" i="16"/>
  <c r="J85" i="16"/>
  <c r="G72" i="16"/>
  <c r="F74" i="16"/>
  <c r="F81" i="16" s="1"/>
  <c r="F82" i="16" s="1"/>
  <c r="J86" i="16"/>
  <c r="G10" i="16"/>
  <c r="F17" i="16"/>
  <c r="AR177" i="12" s="1"/>
  <c r="I87" i="16"/>
  <c r="H90" i="16"/>
  <c r="G34" i="16"/>
  <c r="F35" i="16"/>
  <c r="E27" i="16"/>
  <c r="E28" i="16" s="1"/>
  <c r="G58" i="16"/>
  <c r="F60" i="16"/>
  <c r="F68" i="16" s="1"/>
  <c r="H91" i="16"/>
  <c r="G93" i="16"/>
  <c r="G94" i="16" s="1"/>
  <c r="G101" i="16" s="1"/>
  <c r="E46" i="16"/>
  <c r="E51" i="16" s="1"/>
  <c r="E69" i="16" s="1"/>
  <c r="E83" i="16" s="1"/>
  <c r="E102" i="16" s="1"/>
  <c r="F37" i="16"/>
  <c r="G77" i="16"/>
  <c r="H75" i="16"/>
  <c r="N94" i="10"/>
  <c r="B99" i="10"/>
  <c r="AZ151" i="12" s="1"/>
  <c r="B73" i="9"/>
  <c r="N83" i="7"/>
  <c r="B84" i="7"/>
  <c r="AB151" i="12" s="1"/>
  <c r="N25" i="6"/>
  <c r="B96" i="6"/>
  <c r="AN153" i="12" s="1"/>
  <c r="AL22" i="26" s="1"/>
  <c r="G48" i="19" l="1"/>
  <c r="G106" i="20"/>
  <c r="L75" i="8"/>
  <c r="L90" i="8" s="1"/>
  <c r="Z171" i="12" s="1"/>
  <c r="E20" i="1"/>
  <c r="C23" i="1"/>
  <c r="C25" i="1"/>
  <c r="K96" i="7"/>
  <c r="AK171" i="12" s="1"/>
  <c r="AK153" i="12"/>
  <c r="AI22" i="26" s="1"/>
  <c r="BG19" i="26"/>
  <c r="BG20" i="26"/>
  <c r="BL26" i="26"/>
  <c r="H85" i="7"/>
  <c r="AH151" i="12"/>
  <c r="Z153" i="12"/>
  <c r="X22" i="26" s="1"/>
  <c r="E96" i="6"/>
  <c r="AQ151" i="12"/>
  <c r="L112" i="10"/>
  <c r="BJ171" i="12" s="1"/>
  <c r="BJ153" i="12"/>
  <c r="BH22" i="26" s="1"/>
  <c r="D96" i="6"/>
  <c r="AP151" i="12"/>
  <c r="I85" i="7"/>
  <c r="AI151" i="12"/>
  <c r="AZ19" i="26"/>
  <c r="AZ20" i="26"/>
  <c r="T13" i="26"/>
  <c r="T14" i="26" s="1"/>
  <c r="V49" i="12"/>
  <c r="BD151" i="12"/>
  <c r="F100" i="10"/>
  <c r="D29" i="26"/>
  <c r="F175" i="12"/>
  <c r="AT19" i="26"/>
  <c r="AT20" i="26"/>
  <c r="AD29" i="26"/>
  <c r="AF175" i="12"/>
  <c r="N95" i="6"/>
  <c r="E112" i="10"/>
  <c r="BC171" i="12" s="1"/>
  <c r="BC153" i="12"/>
  <c r="BA22" i="26" s="1"/>
  <c r="L107" i="6"/>
  <c r="AX171" i="12" s="1"/>
  <c r="AX153" i="12"/>
  <c r="AV22" i="26" s="1"/>
  <c r="BE20" i="26"/>
  <c r="BE19" i="26"/>
  <c r="Q20" i="26"/>
  <c r="Q19" i="26"/>
  <c r="Z20" i="26"/>
  <c r="Z19" i="26"/>
  <c r="N73" i="9"/>
  <c r="D171" i="12"/>
  <c r="F75" i="17"/>
  <c r="F76" i="17" s="1"/>
  <c r="G56" i="18"/>
  <c r="G68" i="18" s="1"/>
  <c r="L85" i="7"/>
  <c r="AL151" i="12"/>
  <c r="E90" i="8"/>
  <c r="S171" i="12" s="1"/>
  <c r="S153" i="12"/>
  <c r="Q22" i="26" s="1"/>
  <c r="P19" i="26"/>
  <c r="P20" i="26"/>
  <c r="M100" i="10"/>
  <c r="BK151" i="12"/>
  <c r="AP29" i="26"/>
  <c r="AR175" i="12"/>
  <c r="AY19" i="26"/>
  <c r="AY20" i="26"/>
  <c r="K112" i="10"/>
  <c r="BI171" i="12" s="1"/>
  <c r="BI153" i="12"/>
  <c r="BG22" i="26" s="1"/>
  <c r="X19" i="26"/>
  <c r="X20" i="26"/>
  <c r="X13" i="26"/>
  <c r="X14" i="26" s="1"/>
  <c r="Z49" i="12"/>
  <c r="E85" i="7"/>
  <c r="AE151" i="12"/>
  <c r="K90" i="8"/>
  <c r="Y171" i="12" s="1"/>
  <c r="Y153" i="12"/>
  <c r="W22" i="26" s="1"/>
  <c r="D112" i="10"/>
  <c r="BB171" i="12" s="1"/>
  <c r="BB153" i="12"/>
  <c r="AZ22" i="26" s="1"/>
  <c r="BD20" i="26"/>
  <c r="BD19" i="26"/>
  <c r="H96" i="6"/>
  <c r="AT151" i="12"/>
  <c r="Q32" i="26"/>
  <c r="D36" i="1" s="1"/>
  <c r="S178" i="12"/>
  <c r="AG151" i="12"/>
  <c r="G85" i="7"/>
  <c r="AV13" i="26"/>
  <c r="AV14" i="26" s="1"/>
  <c r="AX49" i="12"/>
  <c r="AX26" i="12"/>
  <c r="AX27" i="12" s="1"/>
  <c r="R29" i="26"/>
  <c r="T175" i="12"/>
  <c r="G29" i="26"/>
  <c r="I175" i="12"/>
  <c r="I112" i="10"/>
  <c r="BG171" i="12" s="1"/>
  <c r="BG153" i="12"/>
  <c r="BE22" i="26" s="1"/>
  <c r="H29" i="26"/>
  <c r="J175" i="12"/>
  <c r="AX20" i="26"/>
  <c r="AX19" i="26"/>
  <c r="AP33" i="26"/>
  <c r="AR178" i="12"/>
  <c r="U33" i="26"/>
  <c r="W178" i="12"/>
  <c r="BH151" i="12"/>
  <c r="J100" i="10"/>
  <c r="AK19" i="26"/>
  <c r="AK20" i="26"/>
  <c r="G90" i="8"/>
  <c r="U171" i="12" s="1"/>
  <c r="U153" i="12"/>
  <c r="S22" i="26" s="1"/>
  <c r="AH29" i="26"/>
  <c r="AJ175" i="12"/>
  <c r="D90" i="8"/>
  <c r="R171" i="12" s="1"/>
  <c r="R153" i="12"/>
  <c r="P22" i="26" s="1"/>
  <c r="C112" i="10"/>
  <c r="BA171" i="12" s="1"/>
  <c r="BA153" i="12"/>
  <c r="AY22" i="26" s="1"/>
  <c r="O175" i="12"/>
  <c r="M29" i="26"/>
  <c r="AY151" i="12"/>
  <c r="M96" i="6"/>
  <c r="W19" i="26"/>
  <c r="W20" i="26"/>
  <c r="H60" i="19"/>
  <c r="G62" i="19"/>
  <c r="G66" i="19" s="1"/>
  <c r="G69" i="19" s="1"/>
  <c r="V19" i="26"/>
  <c r="V20" i="26"/>
  <c r="M90" i="8"/>
  <c r="AA171" i="12" s="1"/>
  <c r="AA153" i="12"/>
  <c r="Y22" i="26" s="1"/>
  <c r="D85" i="7"/>
  <c r="AD151" i="12"/>
  <c r="M85" i="7"/>
  <c r="H112" i="10"/>
  <c r="BF171" i="12" s="1"/>
  <c r="BF153" i="12"/>
  <c r="BD22" i="26" s="1"/>
  <c r="K175" i="12"/>
  <c r="I29" i="26"/>
  <c r="AY13" i="26"/>
  <c r="BA26" i="12"/>
  <c r="BA27" i="12" s="1"/>
  <c r="BA49" i="12"/>
  <c r="K29" i="26"/>
  <c r="M175" i="12"/>
  <c r="C21" i="1"/>
  <c r="AO151" i="12"/>
  <c r="C96" i="6"/>
  <c r="P151" i="12"/>
  <c r="B75" i="8"/>
  <c r="C85" i="7"/>
  <c r="AC151" i="12"/>
  <c r="J29" i="26"/>
  <c r="L175" i="12"/>
  <c r="U29" i="26"/>
  <c r="W175" i="12"/>
  <c r="L29" i="26"/>
  <c r="N175" i="12"/>
  <c r="AU29" i="26"/>
  <c r="AW175" i="12"/>
  <c r="G100" i="10"/>
  <c r="BE151" i="12"/>
  <c r="I41" i="17"/>
  <c r="H43" i="17"/>
  <c r="C14" i="1"/>
  <c r="C16" i="1"/>
  <c r="BH19" i="26"/>
  <c r="BH20" i="26"/>
  <c r="J90" i="8"/>
  <c r="X171" i="12" s="1"/>
  <c r="X153" i="12"/>
  <c r="V22" i="26" s="1"/>
  <c r="Y20" i="26"/>
  <c r="Y19" i="26"/>
  <c r="AK13" i="26"/>
  <c r="AM49" i="12"/>
  <c r="AM26" i="12"/>
  <c r="AM27" i="12" s="1"/>
  <c r="H90" i="8"/>
  <c r="V171" i="12" s="1"/>
  <c r="V153" i="12"/>
  <c r="T22" i="26" s="1"/>
  <c r="N74" i="8"/>
  <c r="Q151" i="12"/>
  <c r="C75" i="8"/>
  <c r="I96" i="6"/>
  <c r="AU151" i="12"/>
  <c r="J107" i="6"/>
  <c r="AV171" i="12" s="1"/>
  <c r="AV153" i="12"/>
  <c r="AT22" i="26" s="1"/>
  <c r="AS151" i="12"/>
  <c r="G96" i="6"/>
  <c r="AL20" i="26"/>
  <c r="AL19" i="26"/>
  <c r="C22" i="1"/>
  <c r="C17" i="1" s="1"/>
  <c r="BA19" i="26"/>
  <c r="BA20" i="26"/>
  <c r="F20" i="1"/>
  <c r="D20" i="1"/>
  <c r="G60" i="20"/>
  <c r="H58" i="20"/>
  <c r="G17" i="18"/>
  <c r="F18" i="18"/>
  <c r="F22" i="18" s="1"/>
  <c r="F23" i="18" s="1"/>
  <c r="F15" i="1"/>
  <c r="AL14" i="26"/>
  <c r="BR156" i="12"/>
  <c r="BS156" i="12" s="1"/>
  <c r="BL24" i="26"/>
  <c r="BR148" i="12"/>
  <c r="BT167" i="12"/>
  <c r="BU167" i="12" s="1"/>
  <c r="BW147" i="12"/>
  <c r="BX149" i="12"/>
  <c r="BS146" i="12"/>
  <c r="I98" i="20"/>
  <c r="I86" i="20"/>
  <c r="H88" i="20"/>
  <c r="I103" i="20"/>
  <c r="H105" i="20"/>
  <c r="H89" i="20"/>
  <c r="G91" i="20"/>
  <c r="H82" i="20"/>
  <c r="G113" i="20"/>
  <c r="H96" i="20"/>
  <c r="G31" i="20"/>
  <c r="G33" i="20" s="1"/>
  <c r="H29" i="20"/>
  <c r="G71" i="20"/>
  <c r="G79" i="20" s="1"/>
  <c r="H69" i="20"/>
  <c r="H43" i="20"/>
  <c r="F57" i="20"/>
  <c r="F62" i="20" s="1"/>
  <c r="F80" i="20" s="1"/>
  <c r="G44" i="20"/>
  <c r="H19" i="20"/>
  <c r="G20" i="20"/>
  <c r="F85" i="20"/>
  <c r="F92" i="20" s="1"/>
  <c r="F93" i="20" s="1"/>
  <c r="G83" i="20"/>
  <c r="H102" i="20"/>
  <c r="I99" i="20"/>
  <c r="H64" i="20"/>
  <c r="K73" i="20"/>
  <c r="J77" i="20"/>
  <c r="E94" i="20"/>
  <c r="E114" i="20" s="1"/>
  <c r="F27" i="20"/>
  <c r="F34" i="20" s="1"/>
  <c r="H22" i="20"/>
  <c r="G26" i="20"/>
  <c r="H50" i="19"/>
  <c r="G53" i="19"/>
  <c r="G54" i="19" s="1"/>
  <c r="G55" i="19" s="1"/>
  <c r="G70" i="19" s="1"/>
  <c r="H47" i="19"/>
  <c r="H48" i="19" s="1"/>
  <c r="H32" i="19"/>
  <c r="H34" i="19" s="1"/>
  <c r="I29" i="19"/>
  <c r="J40" i="19"/>
  <c r="K38" i="19"/>
  <c r="K65" i="19"/>
  <c r="L63" i="19"/>
  <c r="H16" i="19"/>
  <c r="H20" i="19" s="1"/>
  <c r="H21" i="19" s="1"/>
  <c r="I15" i="19"/>
  <c r="I27" i="19"/>
  <c r="J26" i="19"/>
  <c r="I45" i="19"/>
  <c r="I47" i="19" s="1"/>
  <c r="J41" i="19"/>
  <c r="L59" i="19"/>
  <c r="F85" i="18"/>
  <c r="J76" i="18"/>
  <c r="I78" i="18"/>
  <c r="H70" i="18"/>
  <c r="M62" i="18"/>
  <c r="M64" i="18" s="1"/>
  <c r="L64" i="18"/>
  <c r="H72" i="18"/>
  <c r="G75" i="18"/>
  <c r="G79" i="18" s="1"/>
  <c r="G84" i="18" s="1"/>
  <c r="G85" i="18" s="1"/>
  <c r="H66" i="18"/>
  <c r="H67" i="18" s="1"/>
  <c r="I58" i="18"/>
  <c r="H71" i="18"/>
  <c r="J15" i="18"/>
  <c r="X177" i="12" s="1"/>
  <c r="K9" i="18"/>
  <c r="K45" i="18"/>
  <c r="J47" i="18"/>
  <c r="I35" i="18"/>
  <c r="H37" i="18"/>
  <c r="H39" i="18" s="1"/>
  <c r="H53" i="18"/>
  <c r="H55" i="18" s="1"/>
  <c r="I49" i="18"/>
  <c r="I18" i="17"/>
  <c r="H19" i="17"/>
  <c r="H25" i="17" s="1"/>
  <c r="H26" i="17" s="1"/>
  <c r="H52" i="17"/>
  <c r="G54" i="17"/>
  <c r="F40" i="17"/>
  <c r="F45" i="17" s="1"/>
  <c r="G35" i="17"/>
  <c r="J85" i="17"/>
  <c r="I87" i="17"/>
  <c r="H71" i="17"/>
  <c r="I69" i="17"/>
  <c r="I80" i="17"/>
  <c r="E63" i="17"/>
  <c r="E77" i="17" s="1"/>
  <c r="E96" i="17" s="1"/>
  <c r="I65" i="17"/>
  <c r="H79" i="17"/>
  <c r="G95" i="17"/>
  <c r="I81" i="17"/>
  <c r="H84" i="17"/>
  <c r="H88" i="17" s="1"/>
  <c r="J56" i="17"/>
  <c r="I60" i="17"/>
  <c r="H66" i="17"/>
  <c r="G68" i="17"/>
  <c r="G75" i="17" s="1"/>
  <c r="G76" i="17" s="1"/>
  <c r="F62" i="17"/>
  <c r="G47" i="17"/>
  <c r="L72" i="17"/>
  <c r="K74" i="17"/>
  <c r="K86" i="16"/>
  <c r="M53" i="16"/>
  <c r="H49" i="16"/>
  <c r="I47" i="16"/>
  <c r="G37" i="16"/>
  <c r="F46" i="16"/>
  <c r="F51" i="16" s="1"/>
  <c r="F69" i="16" s="1"/>
  <c r="F83" i="16" s="1"/>
  <c r="F102" i="16" s="1"/>
  <c r="G35" i="16"/>
  <c r="H34" i="16"/>
  <c r="G17" i="16"/>
  <c r="AS177" i="12" s="1"/>
  <c r="H10" i="16"/>
  <c r="G74" i="16"/>
  <c r="G81" i="16" s="1"/>
  <c r="G82" i="16" s="1"/>
  <c r="H72" i="16"/>
  <c r="K26" i="16"/>
  <c r="L22" i="16"/>
  <c r="I75" i="16"/>
  <c r="H77" i="16"/>
  <c r="J87" i="16"/>
  <c r="I90" i="16"/>
  <c r="K85" i="16"/>
  <c r="H93" i="16"/>
  <c r="H94" i="16" s="1"/>
  <c r="H101" i="16" s="1"/>
  <c r="I91" i="16"/>
  <c r="F27" i="16"/>
  <c r="F28" i="16" s="1"/>
  <c r="H58" i="16"/>
  <c r="G60" i="16"/>
  <c r="G68" i="16" s="1"/>
  <c r="K62" i="16"/>
  <c r="J66" i="16"/>
  <c r="G20" i="16"/>
  <c r="H19" i="16"/>
  <c r="N99" i="10"/>
  <c r="B100" i="10"/>
  <c r="AZ153" i="12" s="1"/>
  <c r="AX22" i="26" s="1"/>
  <c r="N84" i="7"/>
  <c r="B85" i="7"/>
  <c r="AB153" i="12" s="1"/>
  <c r="Z22" i="26" s="1"/>
  <c r="B107" i="6"/>
  <c r="H106" i="20" l="1"/>
  <c r="F94" i="20"/>
  <c r="F114" i="20" s="1"/>
  <c r="F14" i="1"/>
  <c r="F16" i="1"/>
  <c r="BC19" i="26"/>
  <c r="BC20" i="26"/>
  <c r="BD29" i="26"/>
  <c r="BF175" i="12"/>
  <c r="M107" i="6"/>
  <c r="AY171" i="12" s="1"/>
  <c r="AY153" i="12"/>
  <c r="AW22" i="26" s="1"/>
  <c r="W29" i="26"/>
  <c r="Y175" i="12"/>
  <c r="BK26" i="26"/>
  <c r="BK28" i="26"/>
  <c r="M112" i="10"/>
  <c r="BK171" i="12" s="1"/>
  <c r="BK153" i="12"/>
  <c r="BI22" i="26" s="1"/>
  <c r="AQ20" i="26"/>
  <c r="AQ19" i="26"/>
  <c r="I107" i="6"/>
  <c r="AU171" i="12" s="1"/>
  <c r="AU153" i="12"/>
  <c r="AS22" i="26" s="1"/>
  <c r="AK14" i="26"/>
  <c r="E15" i="1"/>
  <c r="V29" i="26"/>
  <c r="X175" i="12"/>
  <c r="G112" i="10"/>
  <c r="BE171" i="12" s="1"/>
  <c r="BE153" i="12"/>
  <c r="BC22" i="26" s="1"/>
  <c r="P153" i="12"/>
  <c r="N22" i="26" s="1"/>
  <c r="N75" i="8"/>
  <c r="B90" i="8"/>
  <c r="M96" i="7"/>
  <c r="AM171" i="12" s="1"/>
  <c r="AM153" i="12"/>
  <c r="AK22" i="26" s="1"/>
  <c r="Y29" i="26"/>
  <c r="AA175" i="12"/>
  <c r="I60" i="19"/>
  <c r="H62" i="19"/>
  <c r="H66" i="19" s="1"/>
  <c r="H69" i="19" s="1"/>
  <c r="AW20" i="26"/>
  <c r="AW19" i="26"/>
  <c r="AY29" i="26"/>
  <c r="BA175" i="12"/>
  <c r="BE29" i="26"/>
  <c r="BG175" i="12"/>
  <c r="G96" i="7"/>
  <c r="AG171" i="12" s="1"/>
  <c r="AG153" i="12"/>
  <c r="AE22" i="26" s="1"/>
  <c r="AR19" i="26"/>
  <c r="AR20" i="26"/>
  <c r="AC19" i="26"/>
  <c r="AC20" i="26"/>
  <c r="AJ19" i="26"/>
  <c r="AJ20" i="26"/>
  <c r="I96" i="7"/>
  <c r="AI171" i="12" s="1"/>
  <c r="AI153" i="12"/>
  <c r="AG22" i="26" s="1"/>
  <c r="BJ175" i="12"/>
  <c r="BH29" i="26"/>
  <c r="X29" i="26"/>
  <c r="Z175" i="12"/>
  <c r="AI29" i="26"/>
  <c r="AK175" i="12"/>
  <c r="G107" i="6"/>
  <c r="AS171" i="12" s="1"/>
  <c r="AS153" i="12"/>
  <c r="AQ22" i="26" s="1"/>
  <c r="AM19" i="26"/>
  <c r="AM20" i="26"/>
  <c r="Q29" i="26"/>
  <c r="S175" i="12"/>
  <c r="AV29" i="26"/>
  <c r="AX175" i="12"/>
  <c r="AG20" i="26"/>
  <c r="AG19" i="26"/>
  <c r="AQ33" i="26"/>
  <c r="AS178" i="12"/>
  <c r="N96" i="6"/>
  <c r="G18" i="18"/>
  <c r="G22" i="18" s="1"/>
  <c r="G23" i="18" s="1"/>
  <c r="H17" i="18"/>
  <c r="C90" i="8"/>
  <c r="Q171" i="12" s="1"/>
  <c r="Q153" i="12"/>
  <c r="O22" i="26" s="1"/>
  <c r="T29" i="26"/>
  <c r="V175" i="12"/>
  <c r="N19" i="26"/>
  <c r="N20" i="26"/>
  <c r="D15" i="1"/>
  <c r="AB19" i="26"/>
  <c r="AB20" i="26"/>
  <c r="J112" i="10"/>
  <c r="BH171" i="12" s="1"/>
  <c r="BH153" i="12"/>
  <c r="BF22" i="26" s="1"/>
  <c r="AE19" i="26"/>
  <c r="AE20" i="26"/>
  <c r="H107" i="6"/>
  <c r="AT171" i="12" s="1"/>
  <c r="AT153" i="12"/>
  <c r="AR22" i="26" s="1"/>
  <c r="BB175" i="12"/>
  <c r="AZ29" i="26"/>
  <c r="E96" i="7"/>
  <c r="AE171" i="12" s="1"/>
  <c r="AE153" i="12"/>
  <c r="AC22" i="26" s="1"/>
  <c r="BG29" i="26"/>
  <c r="BI175" i="12"/>
  <c r="L96" i="7"/>
  <c r="AL171" i="12" s="1"/>
  <c r="AL153" i="12"/>
  <c r="AJ22" i="26" s="1"/>
  <c r="B29" i="26"/>
  <c r="C32" i="1" s="1"/>
  <c r="D175" i="12"/>
  <c r="BA29" i="26"/>
  <c r="BC175" i="12"/>
  <c r="F112" i="10"/>
  <c r="BD171" i="12" s="1"/>
  <c r="BD153" i="12"/>
  <c r="BB22" i="26" s="1"/>
  <c r="AN19" i="26"/>
  <c r="F21" i="1" s="1"/>
  <c r="AN20" i="26"/>
  <c r="AO20" i="26"/>
  <c r="AO19" i="26"/>
  <c r="AF20" i="26"/>
  <c r="AF19" i="26"/>
  <c r="AS19" i="26"/>
  <c r="AS20" i="26"/>
  <c r="C96" i="7"/>
  <c r="AC171" i="12" s="1"/>
  <c r="AC153" i="12"/>
  <c r="AA22" i="26" s="1"/>
  <c r="AN171" i="12"/>
  <c r="V33" i="26"/>
  <c r="X178" i="12"/>
  <c r="BL28" i="26"/>
  <c r="H60" i="20"/>
  <c r="I58" i="20"/>
  <c r="AT29" i="26"/>
  <c r="AV175" i="12"/>
  <c r="O19" i="26"/>
  <c r="O20" i="26"/>
  <c r="J41" i="17"/>
  <c r="I43" i="17"/>
  <c r="AA20" i="26"/>
  <c r="AA19" i="26"/>
  <c r="C107" i="6"/>
  <c r="AO171" i="12" s="1"/>
  <c r="AO153" i="12"/>
  <c r="AM22" i="26" s="1"/>
  <c r="AY14" i="26"/>
  <c r="G15" i="1"/>
  <c r="D96" i="7"/>
  <c r="AD171" i="12" s="1"/>
  <c r="AD153" i="12"/>
  <c r="AB22" i="26" s="1"/>
  <c r="P29" i="26"/>
  <c r="R175" i="12"/>
  <c r="S29" i="26"/>
  <c r="U175" i="12"/>
  <c r="BF19" i="26"/>
  <c r="BF20" i="26"/>
  <c r="BI20" i="26"/>
  <c r="G22" i="1" s="1"/>
  <c r="G17" i="1" s="1"/>
  <c r="BI19" i="26"/>
  <c r="BB19" i="26"/>
  <c r="BB20" i="26"/>
  <c r="D107" i="6"/>
  <c r="AP171" i="12" s="1"/>
  <c r="AP153" i="12"/>
  <c r="AN22" i="26" s="1"/>
  <c r="E107" i="6"/>
  <c r="AQ171" i="12" s="1"/>
  <c r="AQ153" i="12"/>
  <c r="AO22" i="26" s="1"/>
  <c r="H96" i="7"/>
  <c r="AH171" i="12" s="1"/>
  <c r="AH153" i="12"/>
  <c r="AF22" i="26" s="1"/>
  <c r="BO24" i="26"/>
  <c r="BR155" i="12"/>
  <c r="BV167" i="12"/>
  <c r="BW167" i="12" s="1"/>
  <c r="BT156" i="12"/>
  <c r="BN24" i="26"/>
  <c r="BS148" i="12"/>
  <c r="BY149" i="12"/>
  <c r="BX147" i="12"/>
  <c r="BT146" i="12"/>
  <c r="I22" i="20"/>
  <c r="H26" i="20"/>
  <c r="L73" i="20"/>
  <c r="L77" i="20" s="1"/>
  <c r="K77" i="20"/>
  <c r="I89" i="20"/>
  <c r="H91" i="20"/>
  <c r="J86" i="20"/>
  <c r="I88" i="20"/>
  <c r="G57" i="20"/>
  <c r="G62" i="20" s="1"/>
  <c r="G80" i="20" s="1"/>
  <c r="H44" i="20"/>
  <c r="H113" i="20"/>
  <c r="I96" i="20"/>
  <c r="I64" i="20"/>
  <c r="H83" i="20"/>
  <c r="G85" i="20"/>
  <c r="G92" i="20" s="1"/>
  <c r="G93" i="20" s="1"/>
  <c r="G27" i="20"/>
  <c r="G34" i="20" s="1"/>
  <c r="I29" i="20"/>
  <c r="H31" i="20"/>
  <c r="H33" i="20" s="1"/>
  <c r="I82" i="20"/>
  <c r="J98" i="20"/>
  <c r="J99" i="20"/>
  <c r="I102" i="20"/>
  <c r="H71" i="20"/>
  <c r="H79" i="20" s="1"/>
  <c r="I69" i="20"/>
  <c r="I19" i="20"/>
  <c r="H20" i="20"/>
  <c r="H27" i="20" s="1"/>
  <c r="H34" i="20" s="1"/>
  <c r="I105" i="20"/>
  <c r="J103" i="20"/>
  <c r="K41" i="19"/>
  <c r="J45" i="19"/>
  <c r="J47" i="19" s="1"/>
  <c r="J29" i="19"/>
  <c r="I32" i="19"/>
  <c r="I34" i="19" s="1"/>
  <c r="I48" i="19" s="1"/>
  <c r="I50" i="19"/>
  <c r="H53" i="19"/>
  <c r="H54" i="19" s="1"/>
  <c r="H55" i="19" s="1"/>
  <c r="H70" i="19" s="1"/>
  <c r="I16" i="19"/>
  <c r="I20" i="19" s="1"/>
  <c r="I21" i="19" s="1"/>
  <c r="J15" i="19"/>
  <c r="M59" i="19"/>
  <c r="M62" i="19" s="1"/>
  <c r="L65" i="19"/>
  <c r="M63" i="19"/>
  <c r="M65" i="19" s="1"/>
  <c r="J27" i="19"/>
  <c r="K26" i="19"/>
  <c r="K40" i="19"/>
  <c r="L38" i="19"/>
  <c r="L40" i="19" s="1"/>
  <c r="K15" i="18"/>
  <c r="Y177" i="12" s="1"/>
  <c r="L9" i="18"/>
  <c r="I72" i="18"/>
  <c r="H75" i="18"/>
  <c r="H79" i="18" s="1"/>
  <c r="H84" i="18" s="1"/>
  <c r="K47" i="18"/>
  <c r="L45" i="18"/>
  <c r="J58" i="18"/>
  <c r="I66" i="18"/>
  <c r="I67" i="18" s="1"/>
  <c r="H56" i="18"/>
  <c r="H68" i="18" s="1"/>
  <c r="K76" i="18"/>
  <c r="J78" i="18"/>
  <c r="I70" i="18"/>
  <c r="I53" i="18"/>
  <c r="I55" i="18" s="1"/>
  <c r="J49" i="18"/>
  <c r="I37" i="18"/>
  <c r="I39" i="18" s="1"/>
  <c r="J35" i="18"/>
  <c r="I71" i="18"/>
  <c r="L74" i="17"/>
  <c r="M72" i="17"/>
  <c r="M74" i="17" s="1"/>
  <c r="J81" i="17"/>
  <c r="I84" i="17"/>
  <c r="I88" i="17" s="1"/>
  <c r="G62" i="17"/>
  <c r="H47" i="17"/>
  <c r="K85" i="17"/>
  <c r="J87" i="17"/>
  <c r="H54" i="17"/>
  <c r="I52" i="17"/>
  <c r="H68" i="17"/>
  <c r="H75" i="17" s="1"/>
  <c r="H76" i="17" s="1"/>
  <c r="I66" i="17"/>
  <c r="J60" i="17"/>
  <c r="K56" i="17"/>
  <c r="H95" i="17"/>
  <c r="I79" i="17"/>
  <c r="G40" i="17"/>
  <c r="G45" i="17" s="1"/>
  <c r="G63" i="17" s="1"/>
  <c r="G77" i="17" s="1"/>
  <c r="G96" i="17" s="1"/>
  <c r="H35" i="17"/>
  <c r="J69" i="17"/>
  <c r="I71" i="17"/>
  <c r="J65" i="17"/>
  <c r="J80" i="17"/>
  <c r="F63" i="17"/>
  <c r="F77" i="17" s="1"/>
  <c r="F96" i="17" s="1"/>
  <c r="J18" i="17"/>
  <c r="I19" i="17"/>
  <c r="I25" i="17" s="1"/>
  <c r="I26" i="17" s="1"/>
  <c r="H20" i="16"/>
  <c r="I19" i="16"/>
  <c r="I93" i="16"/>
  <c r="I94" i="16" s="1"/>
  <c r="I101" i="16" s="1"/>
  <c r="J91" i="16"/>
  <c r="K87" i="16"/>
  <c r="J90" i="16"/>
  <c r="G27" i="16"/>
  <c r="G28" i="16" s="1"/>
  <c r="H37" i="16"/>
  <c r="G46" i="16"/>
  <c r="G51" i="16" s="1"/>
  <c r="G69" i="16" s="1"/>
  <c r="G83" i="16" s="1"/>
  <c r="G102" i="16" s="1"/>
  <c r="I58" i="16"/>
  <c r="H60" i="16"/>
  <c r="H68" i="16" s="1"/>
  <c r="I72" i="16"/>
  <c r="H74" i="16"/>
  <c r="H81" i="16" s="1"/>
  <c r="H82" i="16" s="1"/>
  <c r="H35" i="16"/>
  <c r="I34" i="16"/>
  <c r="J47" i="16"/>
  <c r="I49" i="16"/>
  <c r="L62" i="16"/>
  <c r="K66" i="16"/>
  <c r="L85" i="16"/>
  <c r="I77" i="16"/>
  <c r="J75" i="16"/>
  <c r="L26" i="16"/>
  <c r="M22" i="16"/>
  <c r="M26" i="16" s="1"/>
  <c r="H17" i="16"/>
  <c r="I10" i="16"/>
  <c r="L86" i="16"/>
  <c r="B112" i="10"/>
  <c r="N100" i="10"/>
  <c r="B96" i="7"/>
  <c r="N85" i="7"/>
  <c r="G21" i="1" l="1"/>
  <c r="E22" i="1"/>
  <c r="E17" i="1" s="1"/>
  <c r="E21" i="1"/>
  <c r="E24" i="1"/>
  <c r="E23" i="1" s="1"/>
  <c r="I106" i="20"/>
  <c r="F22" i="1"/>
  <c r="F17" i="1" s="1"/>
  <c r="G24" i="1"/>
  <c r="G23" i="1" s="1"/>
  <c r="D21" i="1"/>
  <c r="AB29" i="26"/>
  <c r="AD175" i="12"/>
  <c r="N112" i="10"/>
  <c r="AZ171" i="12"/>
  <c r="AM29" i="26"/>
  <c r="AO175" i="12"/>
  <c r="J43" i="17"/>
  <c r="K41" i="17"/>
  <c r="N107" i="6"/>
  <c r="G14" i="1"/>
  <c r="G16" i="1"/>
  <c r="BB29" i="26"/>
  <c r="BD175" i="12"/>
  <c r="C30" i="1"/>
  <c r="C33" i="1"/>
  <c r="AQ29" i="26"/>
  <c r="AS175" i="12"/>
  <c r="BM26" i="26"/>
  <c r="BM28" i="26"/>
  <c r="AE29" i="26"/>
  <c r="AG175" i="12"/>
  <c r="D24" i="1"/>
  <c r="AS29" i="26"/>
  <c r="AU175" i="12"/>
  <c r="AW29" i="26"/>
  <c r="AY175" i="12"/>
  <c r="AN29" i="26"/>
  <c r="AP175" i="12"/>
  <c r="O29" i="26"/>
  <c r="Q175" i="12"/>
  <c r="N96" i="7"/>
  <c r="AB171" i="12"/>
  <c r="W33" i="26"/>
  <c r="Y178" i="12"/>
  <c r="G94" i="20"/>
  <c r="G114" i="20" s="1"/>
  <c r="AO29" i="26"/>
  <c r="AQ175" i="12"/>
  <c r="J58" i="20"/>
  <c r="I60" i="20"/>
  <c r="D14" i="1"/>
  <c r="D16" i="1"/>
  <c r="I17" i="18"/>
  <c r="H18" i="18"/>
  <c r="H22" i="18" s="1"/>
  <c r="H23" i="18" s="1"/>
  <c r="J60" i="19"/>
  <c r="I62" i="19"/>
  <c r="I66" i="19" s="1"/>
  <c r="I69" i="19" s="1"/>
  <c r="AK29" i="26"/>
  <c r="AM175" i="12"/>
  <c r="E14" i="1"/>
  <c r="E16" i="1"/>
  <c r="BI29" i="26"/>
  <c r="BK175" i="12"/>
  <c r="AF29" i="26"/>
  <c r="AH175" i="12"/>
  <c r="AG29" i="26"/>
  <c r="AI175" i="12"/>
  <c r="H27" i="16"/>
  <c r="H28" i="16" s="1"/>
  <c r="AT177" i="12"/>
  <c r="M66" i="19"/>
  <c r="M69" i="19" s="1"/>
  <c r="F24" i="1"/>
  <c r="AL29" i="26"/>
  <c r="AN175" i="12"/>
  <c r="AA29" i="26"/>
  <c r="AC175" i="12"/>
  <c r="AJ29" i="26"/>
  <c r="AL175" i="12"/>
  <c r="AC29" i="26"/>
  <c r="AE175" i="12"/>
  <c r="AR29" i="26"/>
  <c r="AT175" i="12"/>
  <c r="BF29" i="26"/>
  <c r="BH175" i="12"/>
  <c r="D22" i="1"/>
  <c r="D17" i="1" s="1"/>
  <c r="N90" i="8"/>
  <c r="P171" i="12"/>
  <c r="BC29" i="26"/>
  <c r="BE175" i="12"/>
  <c r="BR157" i="12"/>
  <c r="BS155" i="12"/>
  <c r="BT155" i="12" s="1"/>
  <c r="BU156" i="12"/>
  <c r="BZ149" i="12"/>
  <c r="BU146" i="12"/>
  <c r="BT148" i="12"/>
  <c r="BU148" i="12" s="1"/>
  <c r="BY147" i="12"/>
  <c r="BZ147" i="12" s="1"/>
  <c r="CA147" i="12" s="1"/>
  <c r="BX167" i="12"/>
  <c r="H57" i="20"/>
  <c r="H62" i="20" s="1"/>
  <c r="H80" i="20" s="1"/>
  <c r="I44" i="20"/>
  <c r="I20" i="20"/>
  <c r="J19" i="20"/>
  <c r="K99" i="20"/>
  <c r="J102" i="20"/>
  <c r="J106" i="20" s="1"/>
  <c r="J89" i="20"/>
  <c r="I91" i="20"/>
  <c r="J82" i="20"/>
  <c r="J64" i="20"/>
  <c r="K103" i="20"/>
  <c r="J105" i="20"/>
  <c r="J69" i="20"/>
  <c r="I71" i="20"/>
  <c r="I79" i="20" s="1"/>
  <c r="K98" i="20"/>
  <c r="I113" i="20"/>
  <c r="J96" i="20"/>
  <c r="J29" i="20"/>
  <c r="I31" i="20"/>
  <c r="I33" i="20" s="1"/>
  <c r="I83" i="20"/>
  <c r="H85" i="20"/>
  <c r="H92" i="20" s="1"/>
  <c r="H93" i="20" s="1"/>
  <c r="J88" i="20"/>
  <c r="K86" i="20"/>
  <c r="I26" i="20"/>
  <c r="J22" i="20"/>
  <c r="K29" i="19"/>
  <c r="J32" i="19"/>
  <c r="J34" i="19" s="1"/>
  <c r="J48" i="19" s="1"/>
  <c r="K27" i="19"/>
  <c r="L26" i="19"/>
  <c r="L27" i="19" s="1"/>
  <c r="J16" i="19"/>
  <c r="J20" i="19" s="1"/>
  <c r="J21" i="19" s="1"/>
  <c r="K15" i="19"/>
  <c r="I53" i="19"/>
  <c r="I54" i="19" s="1"/>
  <c r="I55" i="19" s="1"/>
  <c r="I70" i="19" s="1"/>
  <c r="J50" i="19"/>
  <c r="K45" i="19"/>
  <c r="K47" i="19" s="1"/>
  <c r="L41" i="19"/>
  <c r="J37" i="18"/>
  <c r="J39" i="18" s="1"/>
  <c r="K35" i="18"/>
  <c r="J70" i="18"/>
  <c r="K78" i="18"/>
  <c r="L76" i="18"/>
  <c r="J72" i="18"/>
  <c r="I75" i="18"/>
  <c r="I79" i="18" s="1"/>
  <c r="I84" i="18" s="1"/>
  <c r="J71" i="18"/>
  <c r="I56" i="18"/>
  <c r="I68" i="18" s="1"/>
  <c r="H85" i="18"/>
  <c r="M45" i="18"/>
  <c r="M47" i="18" s="1"/>
  <c r="L47" i="18"/>
  <c r="M9" i="18"/>
  <c r="M15" i="18" s="1"/>
  <c r="AA177" i="12" s="1"/>
  <c r="L15" i="18"/>
  <c r="Z177" i="12" s="1"/>
  <c r="K58" i="18"/>
  <c r="J66" i="18"/>
  <c r="J67" i="18" s="1"/>
  <c r="J53" i="18"/>
  <c r="J55" i="18" s="1"/>
  <c r="K49" i="18"/>
  <c r="I35" i="17"/>
  <c r="H40" i="17"/>
  <c r="H45" i="17" s="1"/>
  <c r="H63" i="17" s="1"/>
  <c r="H77" i="17" s="1"/>
  <c r="H96" i="17" s="1"/>
  <c r="L56" i="17"/>
  <c r="K60" i="17"/>
  <c r="I54" i="17"/>
  <c r="J52" i="17"/>
  <c r="H62" i="17"/>
  <c r="I47" i="17"/>
  <c r="K65" i="17"/>
  <c r="J19" i="17"/>
  <c r="J25" i="17" s="1"/>
  <c r="J26" i="17" s="1"/>
  <c r="K18" i="17"/>
  <c r="K80" i="17"/>
  <c r="I95" i="17"/>
  <c r="J79" i="17"/>
  <c r="I68" i="17"/>
  <c r="I75" i="17" s="1"/>
  <c r="I76" i="17" s="1"/>
  <c r="J66" i="17"/>
  <c r="J71" i="17"/>
  <c r="K69" i="17"/>
  <c r="K87" i="17"/>
  <c r="L85" i="17"/>
  <c r="J84" i="17"/>
  <c r="J88" i="17" s="1"/>
  <c r="K81" i="17"/>
  <c r="L66" i="16"/>
  <c r="M62" i="16"/>
  <c r="M66" i="16" s="1"/>
  <c r="J58" i="16"/>
  <c r="I60" i="16"/>
  <c r="I68" i="16" s="1"/>
  <c r="M86" i="16"/>
  <c r="K91" i="16"/>
  <c r="J93" i="16"/>
  <c r="J94" i="16" s="1"/>
  <c r="J101" i="16" s="1"/>
  <c r="J10" i="16"/>
  <c r="I17" i="16"/>
  <c r="M85" i="16"/>
  <c r="J49" i="16"/>
  <c r="K47" i="16"/>
  <c r="I74" i="16"/>
  <c r="I81" i="16" s="1"/>
  <c r="I82" i="16" s="1"/>
  <c r="J72" i="16"/>
  <c r="K90" i="16"/>
  <c r="L87" i="16"/>
  <c r="J19" i="16"/>
  <c r="I20" i="16"/>
  <c r="J77" i="16"/>
  <c r="K75" i="16"/>
  <c r="I35" i="16"/>
  <c r="J34" i="16"/>
  <c r="I37" i="16"/>
  <c r="H46" i="16"/>
  <c r="H51" i="16" s="1"/>
  <c r="H69" i="16" s="1"/>
  <c r="H83" i="16" s="1"/>
  <c r="H102" i="16" s="1"/>
  <c r="BL26" i="12"/>
  <c r="BL27" i="12" s="1"/>
  <c r="BJ7" i="26"/>
  <c r="BJ8" i="26"/>
  <c r="G25" i="1" l="1"/>
  <c r="E25" i="1"/>
  <c r="F32" i="1"/>
  <c r="F33" i="1" s="1"/>
  <c r="Z29" i="26"/>
  <c r="E32" i="1" s="1"/>
  <c r="AB175" i="12"/>
  <c r="L41" i="17"/>
  <c r="K43" i="17"/>
  <c r="F23" i="1"/>
  <c r="F25" i="1"/>
  <c r="I27" i="16"/>
  <c r="I28" i="16" s="1"/>
  <c r="AU177" i="12"/>
  <c r="K60" i="19"/>
  <c r="J62" i="19"/>
  <c r="J66" i="19" s="1"/>
  <c r="J69" i="19" s="1"/>
  <c r="BN26" i="26"/>
  <c r="BN28" i="26"/>
  <c r="AX29" i="26"/>
  <c r="G32" i="1" s="1"/>
  <c r="AZ175" i="12"/>
  <c r="X33" i="26"/>
  <c r="Z178" i="12"/>
  <c r="N29" i="26"/>
  <c r="D32" i="1" s="1"/>
  <c r="P175" i="12"/>
  <c r="J17" i="18"/>
  <c r="I18" i="18"/>
  <c r="I22" i="18" s="1"/>
  <c r="I23" i="18" s="1"/>
  <c r="J60" i="20"/>
  <c r="K58" i="20"/>
  <c r="D23" i="1"/>
  <c r="D25" i="1"/>
  <c r="Y33" i="26"/>
  <c r="D37" i="1" s="1"/>
  <c r="AA178" i="12"/>
  <c r="AB178" i="12"/>
  <c r="AR33" i="26"/>
  <c r="AT178" i="12"/>
  <c r="BR166" i="12"/>
  <c r="BJ36" i="26"/>
  <c r="BT157" i="12"/>
  <c r="BR24" i="26" s="1"/>
  <c r="BS157" i="12"/>
  <c r="BU155" i="12"/>
  <c r="BU157" i="12" s="1"/>
  <c r="BP24" i="26"/>
  <c r="BJ26" i="26"/>
  <c r="BJ28" i="26"/>
  <c r="BV156" i="12"/>
  <c r="BJ13" i="26"/>
  <c r="BJ9" i="26"/>
  <c r="CB147" i="12"/>
  <c r="CC147" i="12" s="1"/>
  <c r="CD147" i="12" s="1"/>
  <c r="BV146" i="12"/>
  <c r="BV148" i="12"/>
  <c r="CA149" i="12"/>
  <c r="BY167" i="12"/>
  <c r="K96" i="20"/>
  <c r="J113" i="20"/>
  <c r="I85" i="20"/>
  <c r="I92" i="20" s="1"/>
  <c r="I93" i="20" s="1"/>
  <c r="J83" i="20"/>
  <c r="K69" i="20"/>
  <c r="J71" i="20"/>
  <c r="J79" i="20" s="1"/>
  <c r="K64" i="20"/>
  <c r="J91" i="20"/>
  <c r="K89" i="20"/>
  <c r="I27" i="20"/>
  <c r="I34" i="20" s="1"/>
  <c r="K19" i="20"/>
  <c r="J20" i="20"/>
  <c r="J27" i="20" s="1"/>
  <c r="K22" i="20"/>
  <c r="J26" i="20"/>
  <c r="L86" i="20"/>
  <c r="K88" i="20"/>
  <c r="K82" i="20"/>
  <c r="I57" i="20"/>
  <c r="I62" i="20" s="1"/>
  <c r="I80" i="20" s="1"/>
  <c r="J44" i="20"/>
  <c r="J31" i="20"/>
  <c r="J33" i="20" s="1"/>
  <c r="K29" i="20"/>
  <c r="L98" i="20"/>
  <c r="L103" i="20"/>
  <c r="K105" i="20"/>
  <c r="L99" i="20"/>
  <c r="K102" i="20"/>
  <c r="H94" i="20"/>
  <c r="H114" i="20" s="1"/>
  <c r="L45" i="19"/>
  <c r="L47" i="19" s="1"/>
  <c r="M41" i="19"/>
  <c r="M45" i="19" s="1"/>
  <c r="M47" i="19" s="1"/>
  <c r="K32" i="19"/>
  <c r="K34" i="19" s="1"/>
  <c r="K48" i="19" s="1"/>
  <c r="L29" i="19"/>
  <c r="L15" i="19"/>
  <c r="K16" i="19"/>
  <c r="K20" i="19" s="1"/>
  <c r="K21" i="19" s="1"/>
  <c r="J53" i="19"/>
  <c r="J54" i="19" s="1"/>
  <c r="J55" i="19" s="1"/>
  <c r="J70" i="19" s="1"/>
  <c r="K50" i="19"/>
  <c r="K70" i="18"/>
  <c r="K66" i="18"/>
  <c r="K67" i="18" s="1"/>
  <c r="L58" i="18"/>
  <c r="J75" i="18"/>
  <c r="K72" i="18"/>
  <c r="L49" i="18"/>
  <c r="K53" i="18"/>
  <c r="K55" i="18" s="1"/>
  <c r="M76" i="18"/>
  <c r="M78" i="18" s="1"/>
  <c r="L78" i="18"/>
  <c r="L35" i="18"/>
  <c r="K37" i="18"/>
  <c r="K39" i="18" s="1"/>
  <c r="J79" i="18"/>
  <c r="J84" i="18" s="1"/>
  <c r="K71" i="18"/>
  <c r="I85" i="18"/>
  <c r="J56" i="18"/>
  <c r="J68" i="18" s="1"/>
  <c r="L87" i="17"/>
  <c r="M85" i="17"/>
  <c r="M87" i="17" s="1"/>
  <c r="L65" i="17"/>
  <c r="M56" i="17"/>
  <c r="M60" i="17" s="1"/>
  <c r="L60" i="17"/>
  <c r="J68" i="17"/>
  <c r="J75" i="17" s="1"/>
  <c r="J76" i="17" s="1"/>
  <c r="K66" i="17"/>
  <c r="L80" i="17"/>
  <c r="I62" i="17"/>
  <c r="J47" i="17"/>
  <c r="K84" i="17"/>
  <c r="K88" i="17" s="1"/>
  <c r="L81" i="17"/>
  <c r="L69" i="17"/>
  <c r="K71" i="17"/>
  <c r="K79" i="17"/>
  <c r="J95" i="17"/>
  <c r="L18" i="17"/>
  <c r="K19" i="17"/>
  <c r="K25" i="17" s="1"/>
  <c r="K26" i="17" s="1"/>
  <c r="K52" i="17"/>
  <c r="J54" i="17"/>
  <c r="I40" i="17"/>
  <c r="I45" i="17" s="1"/>
  <c r="I63" i="17" s="1"/>
  <c r="I77" i="17" s="1"/>
  <c r="I96" i="17" s="1"/>
  <c r="J35" i="17"/>
  <c r="L75" i="16"/>
  <c r="K77" i="16"/>
  <c r="M87" i="16"/>
  <c r="M90" i="16" s="1"/>
  <c r="L90" i="16"/>
  <c r="K49" i="16"/>
  <c r="L47" i="16"/>
  <c r="I46" i="16"/>
  <c r="I51" i="16" s="1"/>
  <c r="I69" i="16" s="1"/>
  <c r="I83" i="16" s="1"/>
  <c r="I102" i="16" s="1"/>
  <c r="J37" i="16"/>
  <c r="J17" i="16"/>
  <c r="K10" i="16"/>
  <c r="J60" i="16"/>
  <c r="J68" i="16" s="1"/>
  <c r="K58" i="16"/>
  <c r="K34" i="16"/>
  <c r="J35" i="16"/>
  <c r="K72" i="16"/>
  <c r="J74" i="16"/>
  <c r="J81" i="16" s="1"/>
  <c r="J82" i="16" s="1"/>
  <c r="J20" i="16"/>
  <c r="K19" i="16"/>
  <c r="L91" i="16"/>
  <c r="K93" i="16"/>
  <c r="K94" i="16" s="1"/>
  <c r="K101" i="16" s="1"/>
  <c r="BJ11" i="26"/>
  <c r="F30" i="1" l="1"/>
  <c r="BS166" i="12"/>
  <c r="BS168" i="12" s="1"/>
  <c r="BQ26" i="26" s="1"/>
  <c r="BR168" i="12"/>
  <c r="K17" i="18"/>
  <c r="J18" i="18"/>
  <c r="J22" i="18" s="1"/>
  <c r="J23" i="18" s="1"/>
  <c r="L58" i="20"/>
  <c r="K60" i="20"/>
  <c r="G30" i="1"/>
  <c r="G33" i="1"/>
  <c r="M41" i="17"/>
  <c r="M43" i="17" s="1"/>
  <c r="L43" i="17"/>
  <c r="K106" i="20"/>
  <c r="I94" i="20"/>
  <c r="I114" i="20" s="1"/>
  <c r="E35" i="1"/>
  <c r="D35" i="1"/>
  <c r="BO26" i="26"/>
  <c r="BO28" i="26"/>
  <c r="E30" i="1"/>
  <c r="E33" i="1"/>
  <c r="D30" i="1"/>
  <c r="D33" i="1"/>
  <c r="L60" i="19"/>
  <c r="L62" i="19" s="1"/>
  <c r="L66" i="19" s="1"/>
  <c r="L69" i="19" s="1"/>
  <c r="K62" i="19"/>
  <c r="K66" i="19" s="1"/>
  <c r="K69" i="19" s="1"/>
  <c r="J27" i="16"/>
  <c r="J28" i="16" s="1"/>
  <c r="AV177" i="12"/>
  <c r="AS33" i="26"/>
  <c r="AU178" i="12"/>
  <c r="BS24" i="26"/>
  <c r="BQ24" i="26"/>
  <c r="BS170" i="12"/>
  <c r="BQ28" i="26" s="1"/>
  <c r="BV155" i="12"/>
  <c r="BW155" i="12" s="1"/>
  <c r="BW156" i="12"/>
  <c r="BX156" i="12" s="1"/>
  <c r="BY156" i="12" s="1"/>
  <c r="BZ156" i="12" s="1"/>
  <c r="CA156" i="12" s="1"/>
  <c r="BJ14" i="26"/>
  <c r="BK7" i="26"/>
  <c r="BJ18" i="26"/>
  <c r="CE147" i="12"/>
  <c r="CF147" i="12" s="1"/>
  <c r="CB149" i="12"/>
  <c r="CC149" i="12" s="1"/>
  <c r="CD149" i="12" s="1"/>
  <c r="BW148" i="12"/>
  <c r="BW146" i="12"/>
  <c r="BZ167" i="12"/>
  <c r="M98" i="20"/>
  <c r="J57" i="20"/>
  <c r="J62" i="20" s="1"/>
  <c r="J80" i="20" s="1"/>
  <c r="K44" i="20"/>
  <c r="J34" i="20"/>
  <c r="L64" i="20"/>
  <c r="M103" i="20"/>
  <c r="M105" i="20" s="1"/>
  <c r="L105" i="20"/>
  <c r="L22" i="20"/>
  <c r="K26" i="20"/>
  <c r="L102" i="20"/>
  <c r="L106" i="20" s="1"/>
  <c r="M99" i="20"/>
  <c r="M102" i="20" s="1"/>
  <c r="M86" i="20"/>
  <c r="M88" i="20" s="1"/>
  <c r="L88" i="20"/>
  <c r="L19" i="20"/>
  <c r="K20" i="20"/>
  <c r="L89" i="20"/>
  <c r="K91" i="20"/>
  <c r="J85" i="20"/>
  <c r="J92" i="20" s="1"/>
  <c r="J93" i="20" s="1"/>
  <c r="K83" i="20"/>
  <c r="K31" i="20"/>
  <c r="K33" i="20" s="1"/>
  <c r="L29" i="20"/>
  <c r="L82" i="20"/>
  <c r="K71" i="20"/>
  <c r="K79" i="20" s="1"/>
  <c r="L69" i="20"/>
  <c r="K113" i="20"/>
  <c r="L96" i="20"/>
  <c r="L16" i="19"/>
  <c r="L20" i="19" s="1"/>
  <c r="L21" i="19" s="1"/>
  <c r="M15" i="19"/>
  <c r="M16" i="19" s="1"/>
  <c r="M20" i="19" s="1"/>
  <c r="M21" i="19" s="1"/>
  <c r="L50" i="19"/>
  <c r="K53" i="19"/>
  <c r="K54" i="19" s="1"/>
  <c r="K55" i="19" s="1"/>
  <c r="K70" i="19" s="1"/>
  <c r="L32" i="19"/>
  <c r="L34" i="19" s="1"/>
  <c r="L48" i="19" s="1"/>
  <c r="M29" i="19"/>
  <c r="M32" i="19" s="1"/>
  <c r="M34" i="19" s="1"/>
  <c r="M48" i="19" s="1"/>
  <c r="M35" i="18"/>
  <c r="M37" i="18" s="1"/>
  <c r="M39" i="18" s="1"/>
  <c r="L37" i="18"/>
  <c r="L39" i="18" s="1"/>
  <c r="L72" i="18"/>
  <c r="K75" i="18"/>
  <c r="K79" i="18" s="1"/>
  <c r="K84" i="18" s="1"/>
  <c r="L71" i="18"/>
  <c r="J85" i="18"/>
  <c r="L70" i="18"/>
  <c r="K56" i="18"/>
  <c r="K68" i="18" s="1"/>
  <c r="L53" i="18"/>
  <c r="L55" i="18" s="1"/>
  <c r="M49" i="18"/>
  <c r="M53" i="18" s="1"/>
  <c r="M55" i="18" s="1"/>
  <c r="L66" i="18"/>
  <c r="L67" i="18" s="1"/>
  <c r="M58" i="18"/>
  <c r="M66" i="18" s="1"/>
  <c r="M67" i="18" s="1"/>
  <c r="J62" i="17"/>
  <c r="K47" i="17"/>
  <c r="L66" i="17"/>
  <c r="K68" i="17"/>
  <c r="K75" i="17" s="1"/>
  <c r="K76" i="17" s="1"/>
  <c r="M18" i="17"/>
  <c r="M19" i="17" s="1"/>
  <c r="M25" i="17" s="1"/>
  <c r="M26" i="17" s="1"/>
  <c r="L19" i="17"/>
  <c r="L25" i="17" s="1"/>
  <c r="L26" i="17" s="1"/>
  <c r="L71" i="17"/>
  <c r="M69" i="17"/>
  <c r="M71" i="17" s="1"/>
  <c r="M65" i="17"/>
  <c r="J40" i="17"/>
  <c r="J45" i="17" s="1"/>
  <c r="K35" i="17"/>
  <c r="L84" i="17"/>
  <c r="L88" i="17" s="1"/>
  <c r="M81" i="17"/>
  <c r="M84" i="17" s="1"/>
  <c r="M80" i="17"/>
  <c r="K54" i="17"/>
  <c r="L52" i="17"/>
  <c r="L79" i="17"/>
  <c r="K95" i="17"/>
  <c r="L72" i="16"/>
  <c r="K74" i="16"/>
  <c r="K81" i="16" s="1"/>
  <c r="K82" i="16" s="1"/>
  <c r="L93" i="16"/>
  <c r="M91" i="16"/>
  <c r="M93" i="16" s="1"/>
  <c r="M94" i="16" s="1"/>
  <c r="M101" i="16" s="1"/>
  <c r="K17" i="16"/>
  <c r="L10" i="16"/>
  <c r="L94" i="16"/>
  <c r="L101" i="16" s="1"/>
  <c r="K20" i="16"/>
  <c r="L19" i="16"/>
  <c r="K35" i="16"/>
  <c r="L34" i="16"/>
  <c r="L49" i="16"/>
  <c r="M47" i="16"/>
  <c r="M49" i="16" s="1"/>
  <c r="K37" i="16"/>
  <c r="J46" i="16"/>
  <c r="J51" i="16" s="1"/>
  <c r="J69" i="16" s="1"/>
  <c r="J83" i="16" s="1"/>
  <c r="J102" i="16" s="1"/>
  <c r="L58" i="16"/>
  <c r="K60" i="16"/>
  <c r="K68" i="16" s="1"/>
  <c r="M75" i="16"/>
  <c r="M77" i="16" s="1"/>
  <c r="L77" i="16"/>
  <c r="M88" i="17" l="1"/>
  <c r="J63" i="17"/>
  <c r="J77" i="17" s="1"/>
  <c r="J96" i="17" s="1"/>
  <c r="BT166" i="12"/>
  <c r="BU166" i="12" s="1"/>
  <c r="BU168" i="12" s="1"/>
  <c r="BW157" i="12"/>
  <c r="BU24" i="26" s="1"/>
  <c r="L60" i="20"/>
  <c r="M58" i="20"/>
  <c r="M60" i="20" s="1"/>
  <c r="BX155" i="12"/>
  <c r="BY155" i="12" s="1"/>
  <c r="BP26" i="26"/>
  <c r="BR170" i="12"/>
  <c r="BP28" i="26" s="1"/>
  <c r="K27" i="16"/>
  <c r="K28" i="16" s="1"/>
  <c r="AW177" i="12"/>
  <c r="AT33" i="26"/>
  <c r="AV178" i="12"/>
  <c r="K18" i="18"/>
  <c r="K22" i="18" s="1"/>
  <c r="K23" i="18" s="1"/>
  <c r="L17" i="18"/>
  <c r="BK36" i="26"/>
  <c r="BV157" i="12"/>
  <c r="CG147" i="12"/>
  <c r="CH147" i="12" s="1"/>
  <c r="CI147" i="12" s="1"/>
  <c r="CE149" i="12"/>
  <c r="CF149" i="12" s="1"/>
  <c r="CG149" i="12" s="1"/>
  <c r="CH149" i="12" s="1"/>
  <c r="CI149" i="12" s="1"/>
  <c r="CB156" i="12"/>
  <c r="BJ16" i="26"/>
  <c r="BK8" i="26"/>
  <c r="BM26" i="12"/>
  <c r="BM27" i="12" s="1"/>
  <c r="CA167" i="12"/>
  <c r="CB167" i="12" s="1"/>
  <c r="CC167" i="12" s="1"/>
  <c r="CD167" i="12" s="1"/>
  <c r="CE167" i="12" s="1"/>
  <c r="CF167" i="12" s="1"/>
  <c r="BX148" i="12"/>
  <c r="BY148" i="12" s="1"/>
  <c r="BZ148" i="12" s="1"/>
  <c r="CA148" i="12" s="1"/>
  <c r="CB148" i="12" s="1"/>
  <c r="BX146" i="12"/>
  <c r="M82" i="20"/>
  <c r="L71" i="20"/>
  <c r="M69" i="20"/>
  <c r="M71" i="20" s="1"/>
  <c r="M29" i="20"/>
  <c r="M31" i="20" s="1"/>
  <c r="M33" i="20" s="1"/>
  <c r="L31" i="20"/>
  <c r="L33" i="20" s="1"/>
  <c r="L79" i="20"/>
  <c r="M64" i="20"/>
  <c r="J94" i="20"/>
  <c r="J114" i="20" s="1"/>
  <c r="M19" i="20"/>
  <c r="M20" i="20" s="1"/>
  <c r="L20" i="20"/>
  <c r="L44" i="20"/>
  <c r="K57" i="20"/>
  <c r="K62" i="20" s="1"/>
  <c r="K80" i="20" s="1"/>
  <c r="M89" i="20"/>
  <c r="M91" i="20" s="1"/>
  <c r="L91" i="20"/>
  <c r="M22" i="20"/>
  <c r="M26" i="20" s="1"/>
  <c r="L26" i="20"/>
  <c r="M106" i="20"/>
  <c r="L113" i="20"/>
  <c r="M96" i="20"/>
  <c r="K85" i="20"/>
  <c r="K92" i="20" s="1"/>
  <c r="K93" i="20" s="1"/>
  <c r="L83" i="20"/>
  <c r="K27" i="20"/>
  <c r="K34" i="20" s="1"/>
  <c r="M50" i="19"/>
  <c r="M53" i="19" s="1"/>
  <c r="M54" i="19" s="1"/>
  <c r="L53" i="19"/>
  <c r="L54" i="19" s="1"/>
  <c r="L55" i="19" s="1"/>
  <c r="L70" i="19" s="1"/>
  <c r="M55" i="19"/>
  <c r="M70" i="19" s="1"/>
  <c r="M70" i="18"/>
  <c r="M72" i="18"/>
  <c r="M75" i="18" s="1"/>
  <c r="L75" i="18"/>
  <c r="L79" i="18" s="1"/>
  <c r="L84" i="18" s="1"/>
  <c r="K85" i="18"/>
  <c r="M71" i="18"/>
  <c r="L56" i="18"/>
  <c r="L68" i="18" s="1"/>
  <c r="M56" i="18"/>
  <c r="M68" i="18" s="1"/>
  <c r="K40" i="17"/>
  <c r="K45" i="17" s="1"/>
  <c r="L35" i="17"/>
  <c r="L68" i="17"/>
  <c r="L75" i="17" s="1"/>
  <c r="L76" i="17" s="1"/>
  <c r="M66" i="17"/>
  <c r="M68" i="17" s="1"/>
  <c r="M75" i="17" s="1"/>
  <c r="M76" i="17" s="1"/>
  <c r="L54" i="17"/>
  <c r="M52" i="17"/>
  <c r="M54" i="17" s="1"/>
  <c r="L47" i="17"/>
  <c r="K62" i="17"/>
  <c r="L95" i="17"/>
  <c r="M79" i="17"/>
  <c r="M95" i="17" s="1"/>
  <c r="L37" i="16"/>
  <c r="K46" i="16"/>
  <c r="K51" i="16" s="1"/>
  <c r="K69" i="16" s="1"/>
  <c r="K83" i="16" s="1"/>
  <c r="K102" i="16" s="1"/>
  <c r="L17" i="16"/>
  <c r="M10" i="16"/>
  <c r="M17" i="16" s="1"/>
  <c r="AY177" i="12" s="1"/>
  <c r="L35" i="16"/>
  <c r="M34" i="16"/>
  <c r="M35" i="16" s="1"/>
  <c r="L20" i="16"/>
  <c r="M19" i="16"/>
  <c r="M20" i="16" s="1"/>
  <c r="M58" i="16"/>
  <c r="M60" i="16" s="1"/>
  <c r="M68" i="16" s="1"/>
  <c r="L60" i="16"/>
  <c r="L68" i="16" s="1"/>
  <c r="M72" i="16"/>
  <c r="M74" i="16" s="1"/>
  <c r="M81" i="16" s="1"/>
  <c r="M82" i="16" s="1"/>
  <c r="L74" i="16"/>
  <c r="L81" i="16" s="1"/>
  <c r="L82" i="16" s="1"/>
  <c r="BT168" i="12" l="1"/>
  <c r="BX157" i="12"/>
  <c r="BV24" i="26" s="1"/>
  <c r="BV166" i="12"/>
  <c r="BV168" i="12" s="1"/>
  <c r="BT26" i="26" s="1"/>
  <c r="AU33" i="26"/>
  <c r="AW178" i="12"/>
  <c r="BS26" i="26"/>
  <c r="BU170" i="12"/>
  <c r="BS28" i="26" s="1"/>
  <c r="AW33" i="26"/>
  <c r="F37" i="1" s="1"/>
  <c r="AZ178" i="12"/>
  <c r="M113" i="20"/>
  <c r="BT24" i="26"/>
  <c r="BR26" i="26"/>
  <c r="BT170" i="12"/>
  <c r="BR28" i="26" s="1"/>
  <c r="L27" i="16"/>
  <c r="L28" i="16" s="1"/>
  <c r="AX177" i="12"/>
  <c r="AY178" i="12" s="1"/>
  <c r="L27" i="20"/>
  <c r="L34" i="20" s="1"/>
  <c r="L18" i="18"/>
  <c r="L22" i="18" s="1"/>
  <c r="L23" i="18" s="1"/>
  <c r="M17" i="18"/>
  <c r="M18" i="18" s="1"/>
  <c r="M22" i="18" s="1"/>
  <c r="M23" i="18" s="1"/>
  <c r="BW166" i="12"/>
  <c r="BW168" i="12" s="1"/>
  <c r="CC156" i="12"/>
  <c r="CD156" i="12" s="1"/>
  <c r="CE156" i="12" s="1"/>
  <c r="CF156" i="12" s="1"/>
  <c r="CG156" i="12" s="1"/>
  <c r="BK11" i="26"/>
  <c r="BK13" i="26"/>
  <c r="BK9" i="26"/>
  <c r="CC148" i="12"/>
  <c r="CD148" i="12" s="1"/>
  <c r="CG167" i="12"/>
  <c r="CH167" i="12" s="1"/>
  <c r="BY157" i="12"/>
  <c r="BY146" i="12"/>
  <c r="BZ155" i="12"/>
  <c r="M44" i="20"/>
  <c r="M57" i="20" s="1"/>
  <c r="M62" i="20" s="1"/>
  <c r="L57" i="20"/>
  <c r="L62" i="20" s="1"/>
  <c r="L80" i="20" s="1"/>
  <c r="M79" i="20"/>
  <c r="L85" i="20"/>
  <c r="L92" i="20" s="1"/>
  <c r="L93" i="20" s="1"/>
  <c r="M83" i="20"/>
  <c r="M85" i="20" s="1"/>
  <c r="M27" i="20"/>
  <c r="M34" i="20" s="1"/>
  <c r="M92" i="20"/>
  <c r="M93" i="20" s="1"/>
  <c r="K94" i="20"/>
  <c r="K114" i="20" s="1"/>
  <c r="L85" i="18"/>
  <c r="M79" i="18"/>
  <c r="M84" i="18" s="1"/>
  <c r="M85" i="18" s="1"/>
  <c r="L62" i="17"/>
  <c r="M47" i="17"/>
  <c r="M62" i="17" s="1"/>
  <c r="M35" i="17"/>
  <c r="M40" i="17" s="1"/>
  <c r="M45" i="17" s="1"/>
  <c r="L40" i="17"/>
  <c r="L45" i="17" s="1"/>
  <c r="L63" i="17" s="1"/>
  <c r="L77" i="17" s="1"/>
  <c r="L96" i="17" s="1"/>
  <c r="K63" i="17"/>
  <c r="K77" i="17" s="1"/>
  <c r="K96" i="17" s="1"/>
  <c r="M27" i="16"/>
  <c r="M28" i="16" s="1"/>
  <c r="M37" i="16"/>
  <c r="M46" i="16" s="1"/>
  <c r="M51" i="16" s="1"/>
  <c r="M69" i="16" s="1"/>
  <c r="M83" i="16" s="1"/>
  <c r="M102" i="16" s="1"/>
  <c r="L46" i="16"/>
  <c r="L51" i="16" s="1"/>
  <c r="L69" i="16" s="1"/>
  <c r="L83" i="16" s="1"/>
  <c r="L102" i="16" s="1"/>
  <c r="M63" i="17" l="1"/>
  <c r="M77" i="17" s="1"/>
  <c r="M96" i="17" s="1"/>
  <c r="BV170" i="12"/>
  <c r="BT28" i="26" s="1"/>
  <c r="BL7" i="26"/>
  <c r="BL8" i="26"/>
  <c r="F35" i="1"/>
  <c r="G35" i="1"/>
  <c r="BU26" i="26"/>
  <c r="H29" i="1" s="1"/>
  <c r="BW170" i="12"/>
  <c r="BU28" i="26" s="1"/>
  <c r="H31" i="1" s="1"/>
  <c r="AV33" i="26"/>
  <c r="AX178" i="12"/>
  <c r="BX166" i="12"/>
  <c r="BY166" i="12" s="1"/>
  <c r="BL36" i="26"/>
  <c r="CH156" i="12"/>
  <c r="CI156" i="12" s="1"/>
  <c r="CI167" i="12"/>
  <c r="BW24" i="26"/>
  <c r="BK16" i="26"/>
  <c r="BN26" i="12"/>
  <c r="BN27" i="12" s="1"/>
  <c r="BK14" i="26"/>
  <c r="BZ146" i="12"/>
  <c r="CA146" i="12" s="1"/>
  <c r="CB146" i="12" s="1"/>
  <c r="CC146" i="12" s="1"/>
  <c r="CD146" i="12" s="1"/>
  <c r="CE146" i="12" s="1"/>
  <c r="CE148" i="12"/>
  <c r="BZ157" i="12"/>
  <c r="CA155" i="12"/>
  <c r="L94" i="20"/>
  <c r="L114" i="20" s="1"/>
  <c r="M80" i="20"/>
  <c r="M94" i="20" s="1"/>
  <c r="M114" i="20" s="1"/>
  <c r="BL9" i="26" l="1"/>
  <c r="BL11" i="26"/>
  <c r="BY168" i="12"/>
  <c r="BX168" i="12"/>
  <c r="BZ166" i="12"/>
  <c r="BZ168" i="12" s="1"/>
  <c r="BX26" i="26" s="1"/>
  <c r="BX24" i="26"/>
  <c r="BL13" i="26"/>
  <c r="BK18" i="26"/>
  <c r="CA157" i="12"/>
  <c r="CB155" i="12"/>
  <c r="CF148" i="12"/>
  <c r="CG148" i="12" s="1"/>
  <c r="CH148" i="12" s="1"/>
  <c r="CF146" i="12"/>
  <c r="BZ170" i="12" l="1"/>
  <c r="BX28" i="26" s="1"/>
  <c r="CA166" i="12"/>
  <c r="CA168" i="12" s="1"/>
  <c r="BY26" i="26" s="1"/>
  <c r="BV26" i="26"/>
  <c r="BX170" i="12"/>
  <c r="BV28" i="26" s="1"/>
  <c r="BW26" i="26"/>
  <c r="BY170" i="12"/>
  <c r="BW28" i="26" s="1"/>
  <c r="BY24" i="26"/>
  <c r="BL14" i="26"/>
  <c r="BL18" i="26"/>
  <c r="CG146" i="12"/>
  <c r="CH146" i="12" s="1"/>
  <c r="CI148" i="12"/>
  <c r="CB157" i="12"/>
  <c r="CC155" i="12"/>
  <c r="CB166" i="12" l="1"/>
  <c r="CB168" i="12" s="1"/>
  <c r="BZ26" i="26" s="1"/>
  <c r="CA170" i="12"/>
  <c r="BY28" i="26" s="1"/>
  <c r="BZ24" i="26"/>
  <c r="BL16" i="26"/>
  <c r="CC157" i="12"/>
  <c r="CD155" i="12"/>
  <c r="CI146" i="12"/>
  <c r="CC166" i="12" l="1"/>
  <c r="CC168" i="12" s="1"/>
  <c r="CA26" i="26" s="1"/>
  <c r="CB170" i="12"/>
  <c r="BZ28" i="26" s="1"/>
  <c r="CA24" i="26"/>
  <c r="CD157" i="12"/>
  <c r="CE155" i="12"/>
  <c r="CD166" i="12" l="1"/>
  <c r="CE166" i="12" s="1"/>
  <c r="CC170" i="12"/>
  <c r="CA28" i="26" s="1"/>
  <c r="CD168" i="12"/>
  <c r="CB26" i="26" s="1"/>
  <c r="CB24" i="26"/>
  <c r="CE157" i="12"/>
  <c r="CF155" i="12"/>
  <c r="CD170" i="12" l="1"/>
  <c r="CB28" i="26" s="1"/>
  <c r="CF166" i="12"/>
  <c r="CE168" i="12"/>
  <c r="CC26" i="26" s="1"/>
  <c r="CC24" i="26"/>
  <c r="CF157" i="12"/>
  <c r="CG155" i="12"/>
  <c r="CE170" i="12" l="1"/>
  <c r="CC28" i="26" s="1"/>
  <c r="CG166" i="12"/>
  <c r="CG168" i="12" s="1"/>
  <c r="CE26" i="26" s="1"/>
  <c r="CF168" i="12"/>
  <c r="CD26" i="26" s="1"/>
  <c r="CD24" i="26"/>
  <c r="CG157" i="12"/>
  <c r="CH155" i="12"/>
  <c r="CF170" i="12" l="1"/>
  <c r="CD28" i="26" s="1"/>
  <c r="CH166" i="12"/>
  <c r="CH168" i="12" s="1"/>
  <c r="CF26" i="26" s="1"/>
  <c r="CG170" i="12"/>
  <c r="CE28" i="26" s="1"/>
  <c r="CE24" i="26"/>
  <c r="CH157" i="12"/>
  <c r="CI155" i="12"/>
  <c r="CI157" i="12" s="1"/>
  <c r="CI166" i="12" l="1"/>
  <c r="CI168" i="12" s="1"/>
  <c r="CG26" i="26" s="1"/>
  <c r="I29" i="1" s="1"/>
  <c r="CG24" i="26"/>
  <c r="CH170" i="12"/>
  <c r="CF28" i="26" s="1"/>
  <c r="CF24" i="26"/>
  <c r="CI170" i="12" l="1"/>
  <c r="CG28" i="26" s="1"/>
  <c r="I31" i="1" s="1"/>
  <c r="H27" i="1"/>
  <c r="I27" i="1"/>
  <c r="BJ17" i="26"/>
  <c r="BJ22" i="26" l="1"/>
  <c r="BJ20" i="26"/>
  <c r="BJ19" i="26"/>
  <c r="BK17" i="26" l="1"/>
  <c r="BJ29" i="26"/>
  <c r="BL175" i="12"/>
  <c r="BJ32" i="26" l="1"/>
  <c r="BL17" i="26"/>
  <c r="BK20" i="26"/>
  <c r="BK19" i="26"/>
  <c r="BK22" i="26" l="1"/>
  <c r="BJ33" i="26"/>
  <c r="BL19" i="26"/>
  <c r="BL20" i="26"/>
  <c r="BL22" i="26" l="1"/>
  <c r="BK29" i="26"/>
  <c r="BM36" i="26" l="1"/>
  <c r="BL32" i="26"/>
  <c r="BL29" i="26"/>
  <c r="BK32" i="26"/>
  <c r="BK33" i="26" l="1"/>
  <c r="BO26" i="12"/>
  <c r="BM13" i="26" l="1"/>
  <c r="BN36" i="26"/>
  <c r="BL33" i="26"/>
  <c r="BM8" i="26"/>
  <c r="BM7" i="26"/>
  <c r="BM11" i="26"/>
  <c r="BN8" i="26" l="1"/>
  <c r="BP26" i="12"/>
  <c r="BM9" i="26"/>
  <c r="BN7" i="26"/>
  <c r="BM16" i="26"/>
  <c r="BN9" i="26" l="1"/>
  <c r="BM18" i="26"/>
  <c r="BN11" i="26"/>
  <c r="BM14" i="26"/>
  <c r="BN13" i="26"/>
  <c r="BN14" i="26" l="1"/>
  <c r="BN16" i="26"/>
  <c r="BN18" i="26" l="1"/>
  <c r="BM17" i="26"/>
  <c r="BN19" i="26"/>
  <c r="BN17" i="26"/>
  <c r="BP22" i="12"/>
  <c r="BO22" i="12"/>
  <c r="BO23" i="12" s="1"/>
  <c r="BP25" i="12" l="1"/>
  <c r="BP27" i="12" s="1"/>
  <c r="BQ23" i="12"/>
  <c r="BO25" i="12"/>
  <c r="BO17" i="26"/>
  <c r="BM22" i="26"/>
  <c r="BP23" i="12"/>
  <c r="BN20" i="26"/>
  <c r="BM29" i="26"/>
  <c r="BO178" i="12"/>
  <c r="BM19" i="26"/>
  <c r="BM20" i="26"/>
  <c r="D10" i="32" l="1"/>
  <c r="E10" i="32"/>
  <c r="F10" i="32"/>
  <c r="BO27" i="12"/>
  <c r="BR22" i="12"/>
  <c r="BS22" i="12" s="1"/>
  <c r="BS112" i="12" s="1"/>
  <c r="BQ17" i="26" s="1"/>
  <c r="BN22" i="26"/>
  <c r="BM32" i="26"/>
  <c r="BS11" i="12" l="1"/>
  <c r="BT22" i="12"/>
  <c r="BT11" i="12" s="1"/>
  <c r="BR11" i="12"/>
  <c r="BR112" i="12"/>
  <c r="BP17" i="26" s="1"/>
  <c r="BR7" i="12"/>
  <c r="BM33" i="26"/>
  <c r="BN29" i="26"/>
  <c r="BT112" i="12" l="1"/>
  <c r="BR17" i="26" s="1"/>
  <c r="BU22" i="12"/>
  <c r="BV22" i="12" s="1"/>
  <c r="BN32" i="26"/>
  <c r="BP178" i="12"/>
  <c r="BO36" i="26"/>
  <c r="BR12" i="12"/>
  <c r="BR8" i="12" s="1"/>
  <c r="BU11" i="12" l="1"/>
  <c r="BU112" i="12"/>
  <c r="BS17" i="26" s="1"/>
  <c r="BS7" i="12"/>
  <c r="BR9" i="12"/>
  <c r="BR15" i="12"/>
  <c r="BR18" i="12"/>
  <c r="BN33" i="26"/>
  <c r="BV11" i="12"/>
  <c r="BV112" i="12"/>
  <c r="BT17" i="26" s="1"/>
  <c r="BW22" i="12"/>
  <c r="BO11" i="26" l="1"/>
  <c r="BO7" i="26"/>
  <c r="BR31" i="12"/>
  <c r="BR30" i="12" s="1"/>
  <c r="BR180" i="12"/>
  <c r="BP36" i="26" s="1"/>
  <c r="BO8" i="26"/>
  <c r="BO13" i="26"/>
  <c r="BW112" i="12"/>
  <c r="BU17" i="26" s="1"/>
  <c r="BW11" i="12"/>
  <c r="BX22" i="12"/>
  <c r="BS12" i="12"/>
  <c r="BS8" i="12" s="1"/>
  <c r="BX112" i="12" l="1"/>
  <c r="BV17" i="26" s="1"/>
  <c r="BX11" i="12"/>
  <c r="BY22" i="12"/>
  <c r="BO16" i="26"/>
  <c r="BS15" i="12"/>
  <c r="BS18" i="12"/>
  <c r="BT7" i="12"/>
  <c r="BS9" i="12"/>
  <c r="BP8" i="26"/>
  <c r="BO9" i="26"/>
  <c r="BR33" i="12"/>
  <c r="BR79" i="12"/>
  <c r="BR87" i="12"/>
  <c r="BR129" i="12"/>
  <c r="BR133" i="12"/>
  <c r="BR48" i="12"/>
  <c r="BR42" i="12"/>
  <c r="BR131" i="12"/>
  <c r="BR41" i="12"/>
  <c r="BR59" i="12"/>
  <c r="BR126" i="12"/>
  <c r="BR89" i="12"/>
  <c r="BR44" i="12"/>
  <c r="BR71" i="12"/>
  <c r="BR43" i="12"/>
  <c r="BR34" i="12"/>
  <c r="BR29" i="12"/>
  <c r="BO14" i="26" l="1"/>
  <c r="BR134" i="12"/>
  <c r="BR67" i="12" s="1"/>
  <c r="BT12" i="12"/>
  <c r="BT8" i="12" s="1"/>
  <c r="BR121" i="12"/>
  <c r="BR120" i="12"/>
  <c r="BR119" i="12"/>
  <c r="BS31" i="12"/>
  <c r="BS29" i="12" s="1"/>
  <c r="BS180" i="12"/>
  <c r="BQ36" i="26" s="1"/>
  <c r="BY11" i="12"/>
  <c r="BZ22" i="12"/>
  <c r="BY112" i="12"/>
  <c r="BW17" i="26" s="1"/>
  <c r="BP13" i="26"/>
  <c r="BR26" i="12"/>
  <c r="BR27" i="12" s="1"/>
  <c r="BR80" i="12"/>
  <c r="BR81" i="12"/>
  <c r="BR83" i="12"/>
  <c r="BR82" i="12"/>
  <c r="BO18" i="26"/>
  <c r="BP7" i="26"/>
  <c r="BR46" i="12"/>
  <c r="BP11" i="26" s="1"/>
  <c r="BR135" i="12" l="1"/>
  <c r="BP18" i="26" s="1"/>
  <c r="BR91" i="12"/>
  <c r="BP16" i="26" s="1"/>
  <c r="BT15" i="12"/>
  <c r="BU7" i="12"/>
  <c r="BT9" i="12"/>
  <c r="BT18" i="12"/>
  <c r="BP9" i="26"/>
  <c r="BS59" i="12"/>
  <c r="BS42" i="12"/>
  <c r="BS131" i="12"/>
  <c r="BS71" i="12"/>
  <c r="BS33" i="12"/>
  <c r="BS126" i="12"/>
  <c r="BS41" i="12"/>
  <c r="BS129" i="12"/>
  <c r="BS79" i="12"/>
  <c r="BS43" i="12"/>
  <c r="BS34" i="12"/>
  <c r="BS87" i="12"/>
  <c r="BS133" i="12"/>
  <c r="BS48" i="12"/>
  <c r="BS44" i="12"/>
  <c r="BS89" i="12"/>
  <c r="BS30" i="12"/>
  <c r="BQ7" i="26"/>
  <c r="CA22" i="12"/>
  <c r="BZ112" i="12"/>
  <c r="BX17" i="26" s="1"/>
  <c r="BZ11" i="12"/>
  <c r="BO19" i="26"/>
  <c r="BO20" i="26"/>
  <c r="BR151" i="12" l="1"/>
  <c r="BP19" i="26" s="1"/>
  <c r="BS46" i="12"/>
  <c r="BQ11" i="26" s="1"/>
  <c r="BP14" i="26"/>
  <c r="BS26" i="12"/>
  <c r="BS27" i="12" s="1"/>
  <c r="BQ13" i="26"/>
  <c r="BS121" i="12"/>
  <c r="BS120" i="12"/>
  <c r="BS119" i="12"/>
  <c r="BU12" i="12"/>
  <c r="BU8" i="12" s="1"/>
  <c r="CA11" i="12"/>
  <c r="CA112" i="12"/>
  <c r="BY17" i="26" s="1"/>
  <c r="CB22" i="12"/>
  <c r="BO22" i="26"/>
  <c r="BQ8" i="26"/>
  <c r="BS134" i="12"/>
  <c r="BS82" i="12"/>
  <c r="BS81" i="12"/>
  <c r="BS80" i="12"/>
  <c r="BS83" i="12"/>
  <c r="BT31" i="12"/>
  <c r="BT180" i="12"/>
  <c r="BR36" i="26" s="1"/>
  <c r="BR153" i="12" l="1"/>
  <c r="BP22" i="26" s="1"/>
  <c r="BP20" i="26"/>
  <c r="BQ9" i="26"/>
  <c r="BU15" i="12"/>
  <c r="BV7" i="12"/>
  <c r="BU18" i="12"/>
  <c r="BU9" i="12"/>
  <c r="CB11" i="12"/>
  <c r="CC22" i="12"/>
  <c r="CB112" i="12"/>
  <c r="BZ17" i="26" s="1"/>
  <c r="BS67" i="12"/>
  <c r="BS91" i="12" s="1"/>
  <c r="BQ16" i="26" s="1"/>
  <c r="BS135" i="12"/>
  <c r="BO29" i="26"/>
  <c r="BT42" i="12"/>
  <c r="BT87" i="12"/>
  <c r="BT33" i="12"/>
  <c r="BT131" i="12"/>
  <c r="BT43" i="12"/>
  <c r="BT71" i="12"/>
  <c r="BT133" i="12"/>
  <c r="BT48" i="12"/>
  <c r="BT79" i="12"/>
  <c r="BT126" i="12"/>
  <c r="BT44" i="12"/>
  <c r="BT34" i="12"/>
  <c r="BT129" i="12"/>
  <c r="BT89" i="12"/>
  <c r="BT59" i="12"/>
  <c r="BT41" i="12"/>
  <c r="BT29" i="12"/>
  <c r="BT30" i="12"/>
  <c r="BR171" i="12" l="1"/>
  <c r="BR175" i="12" s="1"/>
  <c r="BR174" i="12" s="1"/>
  <c r="BP32" i="26" s="1"/>
  <c r="BQ14" i="26"/>
  <c r="BR13" i="26"/>
  <c r="BT26" i="12"/>
  <c r="BT27" i="12" s="1"/>
  <c r="BT134" i="12"/>
  <c r="BT46" i="12"/>
  <c r="BR11" i="26" s="1"/>
  <c r="BO32" i="26"/>
  <c r="BR8" i="26"/>
  <c r="BT120" i="12"/>
  <c r="BT119" i="12"/>
  <c r="BT121" i="12"/>
  <c r="CC112" i="12"/>
  <c r="CA17" i="26" s="1"/>
  <c r="CD22" i="12"/>
  <c r="CC11" i="12"/>
  <c r="BR7" i="26"/>
  <c r="BT80" i="12"/>
  <c r="BT82" i="12"/>
  <c r="BT83" i="12"/>
  <c r="BT81" i="12"/>
  <c r="BS151" i="12"/>
  <c r="BQ18" i="26"/>
  <c r="BV12" i="12"/>
  <c r="BV8" i="12" s="1"/>
  <c r="BU180" i="12"/>
  <c r="BS36" i="26" s="1"/>
  <c r="BU31" i="12"/>
  <c r="BU30" i="12" s="1"/>
  <c r="BP29" i="26" l="1"/>
  <c r="BU29" i="12"/>
  <c r="BS7" i="26" s="1"/>
  <c r="BS8" i="26"/>
  <c r="BV9" i="12"/>
  <c r="BV15" i="12"/>
  <c r="BV18" i="12"/>
  <c r="BW7" i="12"/>
  <c r="BO33" i="26"/>
  <c r="BR177" i="12"/>
  <c r="BU59" i="12"/>
  <c r="BU79" i="12"/>
  <c r="BU131" i="12"/>
  <c r="BU42" i="12"/>
  <c r="BU87" i="12"/>
  <c r="BU41" i="12"/>
  <c r="BU129" i="12"/>
  <c r="BU33" i="12"/>
  <c r="BU89" i="12"/>
  <c r="BU34" i="12"/>
  <c r="BU48" i="12"/>
  <c r="BU133" i="12"/>
  <c r="BU71" i="12"/>
  <c r="BU126" i="12"/>
  <c r="BU44" i="12"/>
  <c r="BU43" i="12"/>
  <c r="CE22" i="12"/>
  <c r="CD112" i="12"/>
  <c r="CB17" i="26" s="1"/>
  <c r="CD11" i="12"/>
  <c r="BQ19" i="26"/>
  <c r="BQ20" i="26"/>
  <c r="BS153" i="12"/>
  <c r="BR9" i="26"/>
  <c r="BR14" i="26" s="1"/>
  <c r="BT67" i="12"/>
  <c r="BT91" i="12" s="1"/>
  <c r="BR16" i="26" s="1"/>
  <c r="BT135" i="12"/>
  <c r="BS9" i="26" l="1"/>
  <c r="BU134" i="12"/>
  <c r="BU67" i="12" s="1"/>
  <c r="BS171" i="12"/>
  <c r="BQ22" i="26"/>
  <c r="BU46" i="12"/>
  <c r="BS11" i="26" s="1"/>
  <c r="BP33" i="26"/>
  <c r="BV31" i="12"/>
  <c r="BV180" i="12"/>
  <c r="BT36" i="26" s="1"/>
  <c r="CE11" i="12"/>
  <c r="CF22" i="12"/>
  <c r="CE112" i="12"/>
  <c r="CC17" i="26" s="1"/>
  <c r="BS13" i="26"/>
  <c r="BU26" i="12"/>
  <c r="BU27" i="12" s="1"/>
  <c r="BT151" i="12"/>
  <c r="BR18" i="26"/>
  <c r="BU120" i="12"/>
  <c r="BU119" i="12"/>
  <c r="BU121" i="12"/>
  <c r="BU82" i="12"/>
  <c r="BU80" i="12"/>
  <c r="BU81" i="12"/>
  <c r="BU83" i="12"/>
  <c r="BW12" i="12"/>
  <c r="BW8" i="12" s="1"/>
  <c r="BU91" i="12" l="1"/>
  <c r="BS16" i="26" s="1"/>
  <c r="BU135" i="12"/>
  <c r="BS18" i="26" s="1"/>
  <c r="BR19" i="26"/>
  <c r="BR20" i="26"/>
  <c r="BT153" i="12"/>
  <c r="BW9" i="12"/>
  <c r="BW15" i="12"/>
  <c r="BW18" i="12"/>
  <c r="BX7" i="12"/>
  <c r="BV133" i="12"/>
  <c r="BV33" i="12"/>
  <c r="BV48" i="12"/>
  <c r="BV87" i="12"/>
  <c r="BV44" i="12"/>
  <c r="BV59" i="12"/>
  <c r="BV79" i="12"/>
  <c r="BV34" i="12"/>
  <c r="BV41" i="12"/>
  <c r="BV43" i="12"/>
  <c r="BV126" i="12"/>
  <c r="BV131" i="12"/>
  <c r="BV89" i="12"/>
  <c r="BV71" i="12"/>
  <c r="BV129" i="12"/>
  <c r="BV42" i="12"/>
  <c r="BV30" i="12"/>
  <c r="BV29" i="12"/>
  <c r="BS14" i="26"/>
  <c r="CF11" i="12"/>
  <c r="CF112" i="12"/>
  <c r="CD17" i="26" s="1"/>
  <c r="CG22" i="12"/>
  <c r="BS175" i="12"/>
  <c r="BS174" i="12" s="1"/>
  <c r="BQ29" i="26"/>
  <c r="BV134" i="12" l="1"/>
  <c r="BV67" i="12" s="1"/>
  <c r="BU151" i="12"/>
  <c r="BS19" i="26" s="1"/>
  <c r="BX12" i="12"/>
  <c r="BX8" i="12" s="1"/>
  <c r="BR22" i="26"/>
  <c r="BT171" i="12"/>
  <c r="BT7" i="26"/>
  <c r="BV46" i="12"/>
  <c r="BT11" i="26" s="1"/>
  <c r="BW180" i="12"/>
  <c r="BU36" i="26" s="1"/>
  <c r="BW31" i="12"/>
  <c r="BW29" i="12" s="1"/>
  <c r="BT8" i="26"/>
  <c r="BQ32" i="26"/>
  <c r="BS177" i="12"/>
  <c r="CG112" i="12"/>
  <c r="CE17" i="26" s="1"/>
  <c r="CG11" i="12"/>
  <c r="CH22" i="12"/>
  <c r="BV121" i="12"/>
  <c r="BV119" i="12"/>
  <c r="BV120" i="12"/>
  <c r="BV81" i="12"/>
  <c r="BV80" i="12"/>
  <c r="BV83" i="12"/>
  <c r="BV82" i="12"/>
  <c r="BT13" i="26"/>
  <c r="BV26" i="12"/>
  <c r="BV27" i="12" s="1"/>
  <c r="BS20" i="26" l="1"/>
  <c r="BU153" i="12"/>
  <c r="BU171" i="12" s="1"/>
  <c r="BV91" i="12"/>
  <c r="BT16" i="26" s="1"/>
  <c r="BV135" i="12"/>
  <c r="BT18" i="26" s="1"/>
  <c r="BW30" i="12"/>
  <c r="BU8" i="26" s="1"/>
  <c r="BU7" i="26"/>
  <c r="BQ33" i="26"/>
  <c r="BX15" i="12"/>
  <c r="BY7" i="12"/>
  <c r="BX18" i="12"/>
  <c r="BX9" i="12"/>
  <c r="BW133" i="12"/>
  <c r="BW89" i="12"/>
  <c r="BW43" i="12"/>
  <c r="BW131" i="12"/>
  <c r="BW59" i="12"/>
  <c r="BW44" i="12"/>
  <c r="BW71" i="12"/>
  <c r="BW48" i="12"/>
  <c r="BW126" i="12"/>
  <c r="BW42" i="12"/>
  <c r="BW34" i="12"/>
  <c r="BW41" i="12"/>
  <c r="BW79" i="12"/>
  <c r="BW33" i="12"/>
  <c r="BW129" i="12"/>
  <c r="BW87" i="12"/>
  <c r="BT175" i="12"/>
  <c r="BT174" i="12" s="1"/>
  <c r="BR32" i="26" s="1"/>
  <c r="BR29" i="26"/>
  <c r="CH11" i="12"/>
  <c r="CI22" i="12"/>
  <c r="CH112" i="12"/>
  <c r="CF17" i="26" s="1"/>
  <c r="BT9" i="26"/>
  <c r="BT14" i="26" s="1"/>
  <c r="H8" i="1"/>
  <c r="BS22" i="26" l="1"/>
  <c r="BW46" i="12"/>
  <c r="BU11" i="26" s="1"/>
  <c r="BV151" i="12"/>
  <c r="BT20" i="26" s="1"/>
  <c r="BW134" i="12"/>
  <c r="BW67" i="12" s="1"/>
  <c r="BY12" i="12"/>
  <c r="BY8" i="12" s="1"/>
  <c r="BW121" i="12"/>
  <c r="BW119" i="12"/>
  <c r="BW120" i="12"/>
  <c r="BU13" i="26"/>
  <c r="D18" i="32" s="1"/>
  <c r="BW26" i="12"/>
  <c r="BW27" i="12" s="1"/>
  <c r="BT177" i="12"/>
  <c r="BU9" i="26"/>
  <c r="D16" i="32" s="1"/>
  <c r="D17" i="32" s="1"/>
  <c r="CI11" i="12"/>
  <c r="CI112" i="12"/>
  <c r="CG17" i="26" s="1"/>
  <c r="BW83" i="12"/>
  <c r="BW81" i="12"/>
  <c r="BW80" i="12"/>
  <c r="BW82" i="12"/>
  <c r="BX180" i="12"/>
  <c r="BV36" i="26" s="1"/>
  <c r="BX31" i="12"/>
  <c r="BS29" i="26"/>
  <c r="BU175" i="12"/>
  <c r="BU174" i="12" s="1"/>
  <c r="BS32" i="26" s="1"/>
  <c r="BT19" i="26" l="1"/>
  <c r="BV153" i="12"/>
  <c r="BT22" i="26" s="1"/>
  <c r="BW91" i="12"/>
  <c r="BU16" i="26" s="1"/>
  <c r="BW135" i="12"/>
  <c r="BU18" i="26" s="1"/>
  <c r="BY15" i="12"/>
  <c r="BY18" i="12"/>
  <c r="BZ7" i="12"/>
  <c r="BY9" i="12"/>
  <c r="BU177" i="12"/>
  <c r="BR33" i="26"/>
  <c r="H19" i="1"/>
  <c r="I19" i="1"/>
  <c r="BU14" i="26"/>
  <c r="D19" i="32" s="1"/>
  <c r="BX59" i="12"/>
  <c r="BX33" i="12"/>
  <c r="BX126" i="12"/>
  <c r="BX48" i="12"/>
  <c r="BX43" i="12"/>
  <c r="BX87" i="12"/>
  <c r="BX34" i="12"/>
  <c r="BX89" i="12"/>
  <c r="BX79" i="12"/>
  <c r="BX131" i="12"/>
  <c r="BX42" i="12"/>
  <c r="BX44" i="12"/>
  <c r="BX129" i="12"/>
  <c r="BX71" i="12"/>
  <c r="BX133" i="12"/>
  <c r="BX41" i="12"/>
  <c r="BX29" i="12"/>
  <c r="BX30" i="12"/>
  <c r="BW151" i="12" l="1"/>
  <c r="BU20" i="26" s="1"/>
  <c r="BV171" i="12"/>
  <c r="BT29" i="26" s="1"/>
  <c r="BX46" i="12"/>
  <c r="BV11" i="26" s="1"/>
  <c r="BS33" i="26"/>
  <c r="BY31" i="12"/>
  <c r="BY180" i="12"/>
  <c r="BW36" i="26" s="1"/>
  <c r="BV8" i="26"/>
  <c r="BV7" i="26"/>
  <c r="BX82" i="12"/>
  <c r="BX80" i="12"/>
  <c r="BX83" i="12"/>
  <c r="BX81" i="12"/>
  <c r="BX26" i="12"/>
  <c r="BX27" i="12" s="1"/>
  <c r="BV13" i="26"/>
  <c r="BX134" i="12"/>
  <c r="BX119" i="12"/>
  <c r="BX121" i="12"/>
  <c r="BX120" i="12"/>
  <c r="BZ12" i="12"/>
  <c r="BZ8" i="12" s="1"/>
  <c r="BY30" i="12" l="1"/>
  <c r="BW8" i="26" s="1"/>
  <c r="BW153" i="12"/>
  <c r="BW171" i="12" s="1"/>
  <c r="BU19" i="26"/>
  <c r="BV175" i="12"/>
  <c r="BV174" i="12" s="1"/>
  <c r="BT32" i="26" s="1"/>
  <c r="BY29" i="12"/>
  <c r="BW7" i="26" s="1"/>
  <c r="BZ15" i="12"/>
  <c r="CA7" i="12"/>
  <c r="BZ18" i="12"/>
  <c r="BZ9" i="12"/>
  <c r="BV9" i="26"/>
  <c r="BY59" i="12"/>
  <c r="BY126" i="12"/>
  <c r="BY34" i="12"/>
  <c r="BY41" i="12"/>
  <c r="BY33" i="12"/>
  <c r="BY79" i="12"/>
  <c r="BY129" i="12"/>
  <c r="BY131" i="12"/>
  <c r="BY133" i="12"/>
  <c r="BY48" i="12"/>
  <c r="BY43" i="12"/>
  <c r="BY44" i="12"/>
  <c r="BY42" i="12"/>
  <c r="BY89" i="12"/>
  <c r="BY87" i="12"/>
  <c r="BY71" i="12"/>
  <c r="BX135" i="12"/>
  <c r="BX67" i="12"/>
  <c r="BX91" i="12" s="1"/>
  <c r="BV16" i="26" s="1"/>
  <c r="BU22" i="26" l="1"/>
  <c r="BV177" i="12"/>
  <c r="BT33" i="26" s="1"/>
  <c r="BV14" i="26"/>
  <c r="BW9" i="26"/>
  <c r="CA12" i="12"/>
  <c r="CA8" i="12" s="1"/>
  <c r="BW175" i="12"/>
  <c r="BW174" i="12" s="1"/>
  <c r="BU32" i="26" s="1"/>
  <c r="BU29" i="26"/>
  <c r="D20" i="32" s="1"/>
  <c r="D21" i="32" s="1"/>
  <c r="BX151" i="12"/>
  <c r="BV18" i="26"/>
  <c r="BW13" i="26"/>
  <c r="BY26" i="12"/>
  <c r="BY27" i="12" s="1"/>
  <c r="BY81" i="12"/>
  <c r="BY80" i="12"/>
  <c r="BY83" i="12"/>
  <c r="BY82" i="12"/>
  <c r="BY119" i="12"/>
  <c r="BY121" i="12"/>
  <c r="BY120" i="12"/>
  <c r="BZ180" i="12"/>
  <c r="BX36" i="26" s="1"/>
  <c r="BZ31" i="12"/>
  <c r="BY134" i="12"/>
  <c r="BY46" i="12"/>
  <c r="BW11" i="26" s="1"/>
  <c r="BW14" i="26" l="1"/>
  <c r="BY135" i="12"/>
  <c r="BY67" i="12"/>
  <c r="BY91" i="12" s="1"/>
  <c r="BW16" i="26" s="1"/>
  <c r="BW177" i="12"/>
  <c r="CB7" i="12"/>
  <c r="CA15" i="12"/>
  <c r="CA18" i="12"/>
  <c r="CA9" i="12"/>
  <c r="BZ33" i="12"/>
  <c r="BZ133" i="12"/>
  <c r="BZ59" i="12"/>
  <c r="BZ48" i="12"/>
  <c r="BZ126" i="12"/>
  <c r="BZ79" i="12"/>
  <c r="BZ129" i="12"/>
  <c r="BZ71" i="12"/>
  <c r="BZ41" i="12"/>
  <c r="BZ131" i="12"/>
  <c r="BZ89" i="12"/>
  <c r="BZ87" i="12"/>
  <c r="BZ43" i="12"/>
  <c r="BZ42" i="12"/>
  <c r="BZ44" i="12"/>
  <c r="BZ34" i="12"/>
  <c r="BZ30" i="12"/>
  <c r="BZ29" i="12"/>
  <c r="BV19" i="26"/>
  <c r="BV20" i="26"/>
  <c r="BX153" i="12"/>
  <c r="BX8" i="26" l="1"/>
  <c r="BZ119" i="12"/>
  <c r="BZ121" i="12"/>
  <c r="BZ120" i="12"/>
  <c r="BZ46" i="12"/>
  <c r="BX11" i="26" s="1"/>
  <c r="CA31" i="12"/>
  <c r="CA29" i="12" s="1"/>
  <c r="CA180" i="12"/>
  <c r="BY36" i="26" s="1"/>
  <c r="BY151" i="12"/>
  <c r="BW18" i="26"/>
  <c r="CB12" i="12"/>
  <c r="CB8" i="12" s="1"/>
  <c r="BX13" i="26"/>
  <c r="BZ26" i="12"/>
  <c r="BZ27" i="12" s="1"/>
  <c r="BU33" i="26"/>
  <c r="BX171" i="12"/>
  <c r="BV22" i="26"/>
  <c r="BX7" i="26"/>
  <c r="BZ83" i="12"/>
  <c r="BZ81" i="12"/>
  <c r="BZ80" i="12"/>
  <c r="BZ82" i="12"/>
  <c r="BZ134" i="12"/>
  <c r="H37" i="1" l="1"/>
  <c r="C24" i="32" s="1"/>
  <c r="BZ135" i="12"/>
  <c r="BZ67" i="12"/>
  <c r="BZ91" i="12" s="1"/>
  <c r="BX16" i="26" s="1"/>
  <c r="BY7" i="26"/>
  <c r="CC7" i="12"/>
  <c r="CB15" i="12"/>
  <c r="CB18" i="12"/>
  <c r="CB9" i="12"/>
  <c r="BX175" i="12"/>
  <c r="BX174" i="12" s="1"/>
  <c r="BV29" i="26"/>
  <c r="BW20" i="26"/>
  <c r="BW19" i="26"/>
  <c r="BY153" i="12"/>
  <c r="BX9" i="26"/>
  <c r="CA126" i="12"/>
  <c r="CA41" i="12"/>
  <c r="CA89" i="12"/>
  <c r="CA48" i="12"/>
  <c r="CA44" i="12"/>
  <c r="CA87" i="12"/>
  <c r="CA131" i="12"/>
  <c r="CA133" i="12"/>
  <c r="CA33" i="12"/>
  <c r="CA79" i="12"/>
  <c r="CA71" i="12"/>
  <c r="CA43" i="12"/>
  <c r="CA34" i="12"/>
  <c r="CA59" i="12"/>
  <c r="CA42" i="12"/>
  <c r="CA129" i="12"/>
  <c r="CA30" i="12"/>
  <c r="BX14" i="26" l="1"/>
  <c r="CA134" i="12"/>
  <c r="CA26" i="12"/>
  <c r="CA27" i="12" s="1"/>
  <c r="BY13" i="26"/>
  <c r="CB31" i="12"/>
  <c r="CB30" i="12" s="1"/>
  <c r="CB180" i="12"/>
  <c r="BZ36" i="26" s="1"/>
  <c r="BY8" i="26"/>
  <c r="CA46" i="12"/>
  <c r="BY11" i="26" s="1"/>
  <c r="CA121" i="12"/>
  <c r="CA120" i="12"/>
  <c r="CA119" i="12"/>
  <c r="CA81" i="12"/>
  <c r="CA82" i="12"/>
  <c r="CA83" i="12"/>
  <c r="CA80" i="12"/>
  <c r="BY171" i="12"/>
  <c r="BW22" i="26"/>
  <c r="BV32" i="26"/>
  <c r="BX177" i="12"/>
  <c r="CC12" i="12"/>
  <c r="CC8" i="12" s="1"/>
  <c r="BZ151" i="12"/>
  <c r="BX18" i="26"/>
  <c r="CC15" i="12" l="1"/>
  <c r="CC9" i="12"/>
  <c r="CD7" i="12"/>
  <c r="CC18" i="12"/>
  <c r="BV33" i="26"/>
  <c r="BX20" i="26"/>
  <c r="BX19" i="26"/>
  <c r="BZ153" i="12"/>
  <c r="BY175" i="12"/>
  <c r="BY174" i="12" s="1"/>
  <c r="BW32" i="26" s="1"/>
  <c r="BW29" i="26"/>
  <c r="BZ8" i="26"/>
  <c r="CB133" i="12"/>
  <c r="CB59" i="12"/>
  <c r="CB131" i="12"/>
  <c r="CB42" i="12"/>
  <c r="CB87" i="12"/>
  <c r="CB33" i="12"/>
  <c r="CB126" i="12"/>
  <c r="CB79" i="12"/>
  <c r="CB71" i="12"/>
  <c r="CB43" i="12"/>
  <c r="CB48" i="12"/>
  <c r="CB41" i="12"/>
  <c r="CB89" i="12"/>
  <c r="CB129" i="12"/>
  <c r="CB44" i="12"/>
  <c r="CB34" i="12"/>
  <c r="CB29" i="12"/>
  <c r="BY9" i="26"/>
  <c r="BY14" i="26" s="1"/>
  <c r="CA67" i="12"/>
  <c r="CA91" i="12" s="1"/>
  <c r="BY16" i="26" s="1"/>
  <c r="CA135" i="12"/>
  <c r="CB46" i="12" l="1"/>
  <c r="BZ11" i="26" s="1"/>
  <c r="BZ7" i="26"/>
  <c r="CB134" i="12"/>
  <c r="CB82" i="12"/>
  <c r="CB83" i="12"/>
  <c r="CB80" i="12"/>
  <c r="CB81" i="12"/>
  <c r="CD12" i="12"/>
  <c r="CD8" i="12" s="1"/>
  <c r="CA151" i="12"/>
  <c r="BY18" i="26"/>
  <c r="BZ13" i="26"/>
  <c r="CB26" i="12"/>
  <c r="CB27" i="12" s="1"/>
  <c r="CB120" i="12"/>
  <c r="CB121" i="12"/>
  <c r="CB119" i="12"/>
  <c r="BX22" i="26"/>
  <c r="BZ171" i="12"/>
  <c r="BY177" i="12"/>
  <c r="CC31" i="12"/>
  <c r="CC29" i="12" s="1"/>
  <c r="CC180" i="12"/>
  <c r="CA36" i="26" s="1"/>
  <c r="CA7" i="26" l="1"/>
  <c r="BX29" i="26"/>
  <c r="BZ175" i="12"/>
  <c r="BZ174" i="12" s="1"/>
  <c r="BX32" i="26" s="1"/>
  <c r="CD15" i="12"/>
  <c r="CD9" i="12"/>
  <c r="CD18" i="12"/>
  <c r="CE7" i="12"/>
  <c r="BY20" i="26"/>
  <c r="BY19" i="26"/>
  <c r="CA153" i="12"/>
  <c r="BZ9" i="26"/>
  <c r="BZ14" i="26" s="1"/>
  <c r="CB135" i="12"/>
  <c r="CB67" i="12"/>
  <c r="CB91" i="12" s="1"/>
  <c r="BZ16" i="26" s="1"/>
  <c r="CC59" i="12"/>
  <c r="CC133" i="12"/>
  <c r="CC87" i="12"/>
  <c r="CC129" i="12"/>
  <c r="CC34" i="12"/>
  <c r="CC89" i="12"/>
  <c r="CC42" i="12"/>
  <c r="CC33" i="12"/>
  <c r="CC71" i="12"/>
  <c r="CC79" i="12"/>
  <c r="CC131" i="12"/>
  <c r="CC41" i="12"/>
  <c r="CC43" i="12"/>
  <c r="CC48" i="12"/>
  <c r="CC126" i="12"/>
  <c r="CC44" i="12"/>
  <c r="CC30" i="12"/>
  <c r="BW33" i="26"/>
  <c r="BZ177" i="12" l="1"/>
  <c r="BX33" i="26" s="1"/>
  <c r="CC134" i="12"/>
  <c r="CC67" i="12" s="1"/>
  <c r="CA13" i="26"/>
  <c r="CC26" i="12"/>
  <c r="CC27" i="12" s="1"/>
  <c r="CC80" i="12"/>
  <c r="CC82" i="12"/>
  <c r="CC83" i="12"/>
  <c r="CC81" i="12"/>
  <c r="CA8" i="26"/>
  <c r="CA9" i="26" s="1"/>
  <c r="BY22" i="26"/>
  <c r="CA171" i="12"/>
  <c r="CE12" i="12"/>
  <c r="CE8" i="12" s="1"/>
  <c r="CC46" i="12"/>
  <c r="CA11" i="26" s="1"/>
  <c r="CC120" i="12"/>
  <c r="CC121" i="12"/>
  <c r="CC119" i="12"/>
  <c r="BZ18" i="26"/>
  <c r="CB151" i="12"/>
  <c r="CD31" i="12"/>
  <c r="CD180" i="12"/>
  <c r="CB36" i="26" s="1"/>
  <c r="CC91" i="12" l="1"/>
  <c r="CA16" i="26" s="1"/>
  <c r="CC135" i="12"/>
  <c r="CA18" i="26" s="1"/>
  <c r="CF7" i="12"/>
  <c r="CE15" i="12"/>
  <c r="CE18" i="12"/>
  <c r="CE9" i="12"/>
  <c r="CD33" i="12"/>
  <c r="CD59" i="12"/>
  <c r="CD131" i="12"/>
  <c r="CD34" i="12"/>
  <c r="CD44" i="12"/>
  <c r="CD133" i="12"/>
  <c r="CD48" i="12"/>
  <c r="CD126" i="12"/>
  <c r="CD79" i="12"/>
  <c r="CD129" i="12"/>
  <c r="CD87" i="12"/>
  <c r="CD71" i="12"/>
  <c r="CD41" i="12"/>
  <c r="CD43" i="12"/>
  <c r="CD89" i="12"/>
  <c r="CD42" i="12"/>
  <c r="CD29" i="12"/>
  <c r="CA14" i="26"/>
  <c r="BY29" i="26"/>
  <c r="CA175" i="12"/>
  <c r="CA174" i="12" s="1"/>
  <c r="BZ19" i="26"/>
  <c r="BZ20" i="26"/>
  <c r="CB153" i="12"/>
  <c r="CD30" i="12"/>
  <c r="CC151" i="12" l="1"/>
  <c r="CA19" i="26" s="1"/>
  <c r="CB7" i="26"/>
  <c r="CD46" i="12"/>
  <c r="CB11" i="26" s="1"/>
  <c r="CF12" i="12"/>
  <c r="CF8" i="12" s="1"/>
  <c r="CD134" i="12"/>
  <c r="CE31" i="12"/>
  <c r="CE29" i="12" s="1"/>
  <c r="CE180" i="12"/>
  <c r="CC36" i="26" s="1"/>
  <c r="CB8" i="26"/>
  <c r="CD119" i="12"/>
  <c r="CD121" i="12"/>
  <c r="CD120" i="12"/>
  <c r="CD81" i="12"/>
  <c r="CD80" i="12"/>
  <c r="CD83" i="12"/>
  <c r="CD82" i="12"/>
  <c r="BY32" i="26"/>
  <c r="CA177" i="12"/>
  <c r="CB171" i="12"/>
  <c r="BZ22" i="26"/>
  <c r="CB13" i="26"/>
  <c r="CD26" i="12"/>
  <c r="CD27" i="12" s="1"/>
  <c r="CC153" i="12" l="1"/>
  <c r="CC171" i="12" s="1"/>
  <c r="CA20" i="26"/>
  <c r="CE30" i="12"/>
  <c r="CC8" i="26" s="1"/>
  <c r="CG7" i="12"/>
  <c r="CF15" i="12"/>
  <c r="CF9" i="12"/>
  <c r="CF18" i="12"/>
  <c r="CB175" i="12"/>
  <c r="CB174" i="12" s="1"/>
  <c r="BZ32" i="26" s="1"/>
  <c r="BZ29" i="26"/>
  <c r="BY33" i="26"/>
  <c r="CE133" i="12"/>
  <c r="CE59" i="12"/>
  <c r="CE48" i="12"/>
  <c r="CE42" i="12"/>
  <c r="CE44" i="12"/>
  <c r="CE89" i="12"/>
  <c r="CE79" i="12"/>
  <c r="CE41" i="12"/>
  <c r="CE131" i="12"/>
  <c r="CE33" i="12"/>
  <c r="CE126" i="12"/>
  <c r="CE43" i="12"/>
  <c r="CE87" i="12"/>
  <c r="CE34" i="12"/>
  <c r="CE71" i="12"/>
  <c r="CE129" i="12"/>
  <c r="CC7" i="26"/>
  <c r="CD135" i="12"/>
  <c r="CD67" i="12"/>
  <c r="CD91" i="12" s="1"/>
  <c r="CB16" i="26" s="1"/>
  <c r="CB9" i="26"/>
  <c r="CB14" i="26" s="1"/>
  <c r="CA22" i="26" l="1"/>
  <c r="CB177" i="12"/>
  <c r="BZ33" i="26" s="1"/>
  <c r="CC9" i="26"/>
  <c r="CE121" i="12"/>
  <c r="CE119" i="12"/>
  <c r="CE120" i="12"/>
  <c r="CE81" i="12"/>
  <c r="CE83" i="12"/>
  <c r="CE82" i="12"/>
  <c r="CE80" i="12"/>
  <c r="CE26" i="12"/>
  <c r="CE27" i="12" s="1"/>
  <c r="CC13" i="26"/>
  <c r="CC175" i="12"/>
  <c r="CC174" i="12" s="1"/>
  <c r="CA32" i="26" s="1"/>
  <c r="CA29" i="26"/>
  <c r="CE46" i="12"/>
  <c r="CC11" i="26" s="1"/>
  <c r="CF31" i="12"/>
  <c r="CF180" i="12"/>
  <c r="CD36" i="26" s="1"/>
  <c r="CB18" i="26"/>
  <c r="CD151" i="12"/>
  <c r="CE134" i="12"/>
  <c r="CG12" i="12"/>
  <c r="CG8" i="12" s="1"/>
  <c r="CC14" i="26" l="1"/>
  <c r="CC177" i="12"/>
  <c r="CA33" i="26" s="1"/>
  <c r="CG15" i="12"/>
  <c r="CG9" i="12"/>
  <c r="CH7" i="12"/>
  <c r="CG18" i="12"/>
  <c r="CB20" i="26"/>
  <c r="CB19" i="26"/>
  <c r="CD153" i="12"/>
  <c r="CF33" i="12"/>
  <c r="CF79" i="12"/>
  <c r="CF133" i="12"/>
  <c r="CF48" i="12"/>
  <c r="CF59" i="12"/>
  <c r="CF44" i="12"/>
  <c r="CF71" i="12"/>
  <c r="CF131" i="12"/>
  <c r="CF43" i="12"/>
  <c r="CF42" i="12"/>
  <c r="CF41" i="12"/>
  <c r="CF34" i="12"/>
  <c r="CF89" i="12"/>
  <c r="CF126" i="12"/>
  <c r="CF87" i="12"/>
  <c r="CF129" i="12"/>
  <c r="CF30" i="12"/>
  <c r="CF29" i="12"/>
  <c r="CE135" i="12"/>
  <c r="CE67" i="12"/>
  <c r="CE91" i="12" s="1"/>
  <c r="CC16" i="26" s="1"/>
  <c r="CF134" i="12" l="1"/>
  <c r="CD7" i="26"/>
  <c r="CF119" i="12"/>
  <c r="CF121" i="12"/>
  <c r="CF120" i="12"/>
  <c r="CF80" i="12"/>
  <c r="CF82" i="12"/>
  <c r="CF81" i="12"/>
  <c r="CF83" i="12"/>
  <c r="CB22" i="26"/>
  <c r="CD171" i="12"/>
  <c r="CH12" i="12"/>
  <c r="CH8" i="12" s="1"/>
  <c r="CD8" i="26"/>
  <c r="CF46" i="12"/>
  <c r="CD11" i="26" s="1"/>
  <c r="CE151" i="12"/>
  <c r="CC18" i="26"/>
  <c r="CF67" i="12"/>
  <c r="CD13" i="26"/>
  <c r="CF26" i="12"/>
  <c r="CF27" i="12" s="1"/>
  <c r="CG31" i="12"/>
  <c r="CG29" i="12" s="1"/>
  <c r="CG180" i="12"/>
  <c r="CE36" i="26" s="1"/>
  <c r="CF91" i="12" l="1"/>
  <c r="CD16" i="26" s="1"/>
  <c r="CF135" i="12"/>
  <c r="CG30" i="12"/>
  <c r="CE8" i="26" s="1"/>
  <c r="CE7" i="26"/>
  <c r="CD175" i="12"/>
  <c r="CD174" i="12" s="1"/>
  <c r="CB29" i="26"/>
  <c r="CC19" i="26"/>
  <c r="CC20" i="26"/>
  <c r="CE153" i="12"/>
  <c r="CH15" i="12"/>
  <c r="CI7" i="12"/>
  <c r="CH9" i="12"/>
  <c r="CH18" i="12"/>
  <c r="CG133" i="12"/>
  <c r="CG48" i="12"/>
  <c r="CG33" i="12"/>
  <c r="CG44" i="12"/>
  <c r="CG43" i="12"/>
  <c r="CG89" i="12"/>
  <c r="CG59" i="12"/>
  <c r="CG79" i="12"/>
  <c r="CG71" i="12"/>
  <c r="CG41" i="12"/>
  <c r="CG131" i="12"/>
  <c r="CG129" i="12"/>
  <c r="CG34" i="12"/>
  <c r="CG87" i="12"/>
  <c r="CG126" i="12"/>
  <c r="CG42" i="12"/>
  <c r="CD9" i="26"/>
  <c r="CD14" i="26" s="1"/>
  <c r="CF151" i="12" l="1"/>
  <c r="CD19" i="26" s="1"/>
  <c r="CD18" i="26"/>
  <c r="CI12" i="12"/>
  <c r="CI8" i="12" s="1"/>
  <c r="CG46" i="12"/>
  <c r="CE11" i="26" s="1"/>
  <c r="CH180" i="12"/>
  <c r="CF36" i="26" s="1"/>
  <c r="CH31" i="12"/>
  <c r="CE13" i="26"/>
  <c r="CG26" i="12"/>
  <c r="CG27" i="12" s="1"/>
  <c r="CE171" i="12"/>
  <c r="CC22" i="26"/>
  <c r="CB32" i="26"/>
  <c r="CD177" i="12"/>
  <c r="CG80" i="12"/>
  <c r="CG83" i="12"/>
  <c r="CG81" i="12"/>
  <c r="CG82" i="12"/>
  <c r="CG120" i="12"/>
  <c r="CG121" i="12"/>
  <c r="CG119" i="12"/>
  <c r="CG134" i="12"/>
  <c r="CE9" i="26"/>
  <c r="CF153" i="12" l="1"/>
  <c r="CD22" i="26" s="1"/>
  <c r="CD20" i="26"/>
  <c r="CI9" i="12"/>
  <c r="CI15" i="12"/>
  <c r="CI18" i="12"/>
  <c r="CB33" i="26"/>
  <c r="CG67" i="12"/>
  <c r="CG91" i="12" s="1"/>
  <c r="CE16" i="26" s="1"/>
  <c r="CG135" i="12"/>
  <c r="CE175" i="12"/>
  <c r="CE174" i="12" s="1"/>
  <c r="CC32" i="26" s="1"/>
  <c r="CC29" i="26"/>
  <c r="CE14" i="26"/>
  <c r="CH59" i="12"/>
  <c r="CH79" i="12"/>
  <c r="CH126" i="12"/>
  <c r="CH33" i="12"/>
  <c r="CH129" i="12"/>
  <c r="CH42" i="12"/>
  <c r="CH41" i="12"/>
  <c r="CH48" i="12"/>
  <c r="CH44" i="12"/>
  <c r="CH87" i="12"/>
  <c r="CH34" i="12"/>
  <c r="CH89" i="12"/>
  <c r="CH43" i="12"/>
  <c r="CH133" i="12"/>
  <c r="CH131" i="12"/>
  <c r="CH71" i="12"/>
  <c r="CH29" i="12"/>
  <c r="CH30" i="12"/>
  <c r="CF171" i="12" l="1"/>
  <c r="CD29" i="26" s="1"/>
  <c r="CH46" i="12"/>
  <c r="CF11" i="26" s="1"/>
  <c r="CE177" i="12"/>
  <c r="CH119" i="12"/>
  <c r="CH120" i="12"/>
  <c r="CH121" i="12"/>
  <c r="CE18" i="26"/>
  <c r="CG151" i="12"/>
  <c r="CH81" i="12"/>
  <c r="CH83" i="12"/>
  <c r="CH80" i="12"/>
  <c r="CH82" i="12"/>
  <c r="CI31" i="12"/>
  <c r="CI180" i="12"/>
  <c r="CG36" i="26" s="1"/>
  <c r="CF13" i="26"/>
  <c r="CH26" i="12"/>
  <c r="CH27" i="12" s="1"/>
  <c r="CF8" i="26"/>
  <c r="CH134" i="12"/>
  <c r="CF7" i="26"/>
  <c r="CI30" i="12" l="1"/>
  <c r="CG8" i="26" s="1"/>
  <c r="I9" i="1" s="1"/>
  <c r="CF175" i="12"/>
  <c r="CF174" i="12" s="1"/>
  <c r="CD32" i="26" s="1"/>
  <c r="CI29" i="12"/>
  <c r="CG7" i="26" s="1"/>
  <c r="H40" i="1"/>
  <c r="C25" i="32" s="1"/>
  <c r="I40" i="1"/>
  <c r="E25" i="32" s="1"/>
  <c r="CH135" i="12"/>
  <c r="CH67" i="12"/>
  <c r="CH91" i="12" s="1"/>
  <c r="CF16" i="26" s="1"/>
  <c r="CE19" i="26"/>
  <c r="CE20" i="26"/>
  <c r="CG153" i="12"/>
  <c r="H9" i="1"/>
  <c r="CF9" i="26"/>
  <c r="CF14" i="26" s="1"/>
  <c r="CI44" i="12"/>
  <c r="CI129" i="12"/>
  <c r="CI131" i="12"/>
  <c r="CI33" i="12"/>
  <c r="CI43" i="12"/>
  <c r="CI89" i="12"/>
  <c r="CI133" i="12"/>
  <c r="CI48" i="12"/>
  <c r="CI42" i="12"/>
  <c r="CI71" i="12"/>
  <c r="CI87" i="12"/>
  <c r="CI126" i="12"/>
  <c r="CI34" i="12"/>
  <c r="CI59" i="12"/>
  <c r="CI79" i="12"/>
  <c r="CI41" i="12"/>
  <c r="CC33" i="26"/>
  <c r="CG9" i="26" l="1"/>
  <c r="F16" i="32" s="1"/>
  <c r="K23" i="32" s="1"/>
  <c r="CF177" i="12"/>
  <c r="CD33" i="26" s="1"/>
  <c r="I8" i="1"/>
  <c r="CI134" i="12"/>
  <c r="CI67" i="12" s="1"/>
  <c r="CI83" i="12"/>
  <c r="CI80" i="12"/>
  <c r="CI82" i="12"/>
  <c r="CI81" i="12"/>
  <c r="CI119" i="12"/>
  <c r="CI120" i="12"/>
  <c r="CI121" i="12"/>
  <c r="CG13" i="26"/>
  <c r="F18" i="32" s="1"/>
  <c r="CI26" i="12"/>
  <c r="CI27" i="12" s="1"/>
  <c r="CI46" i="12"/>
  <c r="CG11" i="26" s="1"/>
  <c r="CG171" i="12"/>
  <c r="CE22" i="26"/>
  <c r="CF18" i="26"/>
  <c r="CH151" i="12"/>
  <c r="H10" i="1"/>
  <c r="C16" i="32" s="1"/>
  <c r="I10" i="1" l="1"/>
  <c r="I11" i="1" s="1"/>
  <c r="E17" i="32" s="1"/>
  <c r="K5" i="32"/>
  <c r="F17" i="32"/>
  <c r="CI91" i="12"/>
  <c r="CG16" i="26" s="1"/>
  <c r="CI135" i="12"/>
  <c r="H18" i="1"/>
  <c r="CF19" i="26"/>
  <c r="CF20" i="26"/>
  <c r="CH153" i="12"/>
  <c r="H13" i="1"/>
  <c r="H12" i="1" s="1"/>
  <c r="I13" i="1"/>
  <c r="I12" i="1" s="1"/>
  <c r="CG14" i="26"/>
  <c r="F19" i="32" s="1"/>
  <c r="H15" i="1"/>
  <c r="C18" i="32" s="1"/>
  <c r="I15" i="1"/>
  <c r="E18" i="32" s="1"/>
  <c r="H11" i="1"/>
  <c r="C17" i="32" s="1"/>
  <c r="H7" i="1"/>
  <c r="CG175" i="12"/>
  <c r="CG174" i="12" s="1"/>
  <c r="CE29" i="26"/>
  <c r="E16" i="32" l="1"/>
  <c r="I7" i="1"/>
  <c r="I18" i="1"/>
  <c r="CI151" i="12"/>
  <c r="CG19" i="26" s="1"/>
  <c r="CG18" i="26"/>
  <c r="I20" i="1" s="1"/>
  <c r="CH171" i="12"/>
  <c r="CF22" i="26"/>
  <c r="I16" i="1"/>
  <c r="E19" i="32" s="1"/>
  <c r="I14" i="1"/>
  <c r="CE32" i="26"/>
  <c r="CG177" i="12"/>
  <c r="H16" i="1"/>
  <c r="C19" i="32" s="1"/>
  <c r="H14" i="1"/>
  <c r="H20" i="1"/>
  <c r="CI153" i="12" l="1"/>
  <c r="CI171" i="12" s="1"/>
  <c r="CG20" i="26"/>
  <c r="I22" i="1" s="1"/>
  <c r="I17" i="1" s="1"/>
  <c r="H22" i="1"/>
  <c r="H17" i="1" s="1"/>
  <c r="CE33" i="26"/>
  <c r="H21" i="1"/>
  <c r="I21" i="1"/>
  <c r="CF29" i="26"/>
  <c r="CH175" i="12"/>
  <c r="CH174" i="12" s="1"/>
  <c r="CF32" i="26" s="1"/>
  <c r="CG22" i="26" l="1"/>
  <c r="I24" i="1" s="1"/>
  <c r="H24" i="1"/>
  <c r="CH177" i="12"/>
  <c r="CI175" i="12"/>
  <c r="CI174" i="12" s="1"/>
  <c r="CG32" i="26" s="1"/>
  <c r="CG29" i="26"/>
  <c r="F20" i="32" s="1"/>
  <c r="F21" i="32" l="1"/>
  <c r="K14" i="32"/>
  <c r="I25" i="1"/>
  <c r="I23" i="1"/>
  <c r="H36" i="1"/>
  <c r="I36" i="1"/>
  <c r="E23" i="32" s="1"/>
  <c r="CI177" i="12"/>
  <c r="CG33" i="26" s="1"/>
  <c r="CF33" i="26"/>
  <c r="H32" i="1"/>
  <c r="C20" i="32" s="1"/>
  <c r="I32" i="1"/>
  <c r="E20" i="32" s="1"/>
  <c r="H23" i="1"/>
  <c r="H25" i="1"/>
  <c r="H35" i="1" l="1"/>
  <c r="C23" i="32"/>
  <c r="I37" i="1"/>
  <c r="I33" i="1"/>
  <c r="E21" i="32" s="1"/>
  <c r="I30" i="1"/>
  <c r="H30" i="1"/>
  <c r="H33" i="1"/>
  <c r="C21" i="32" s="1"/>
  <c r="I35" i="1" l="1"/>
  <c r="E24" i="32"/>
  <c r="K32" i="32" l="1"/>
</calcChain>
</file>

<file path=xl/sharedStrings.xml><?xml version="1.0" encoding="utf-8"?>
<sst xmlns="http://schemas.openxmlformats.org/spreadsheetml/2006/main" count="2010" uniqueCount="541">
  <si>
    <t>Last updated</t>
  </si>
  <si>
    <t>Nadine West</t>
  </si>
  <si>
    <t>Profit and Loss</t>
  </si>
  <si>
    <t>January - December 2018</t>
  </si>
  <si>
    <t>Jan 2018</t>
  </si>
  <si>
    <t>Feb 2018</t>
  </si>
  <si>
    <t>Mar 2018</t>
  </si>
  <si>
    <t>Apr 2018</t>
  </si>
  <si>
    <t>May 2018</t>
  </si>
  <si>
    <t>Jun 2018</t>
  </si>
  <si>
    <t>Jul 2018</t>
  </si>
  <si>
    <t>Aug 2018</t>
  </si>
  <si>
    <t>Sep 2018</t>
  </si>
  <si>
    <t>Oct 2018</t>
  </si>
  <si>
    <t>Nov 2018</t>
  </si>
  <si>
    <t>Dec 2018</t>
  </si>
  <si>
    <t>Total</t>
  </si>
  <si>
    <t>Income</t>
  </si>
  <si>
    <t xml:space="preserve">   Sales</t>
  </si>
  <si>
    <t xml:space="preserve">   Sales Returns</t>
  </si>
  <si>
    <t>Total Income</t>
  </si>
  <si>
    <t>Cost of Goods Sold</t>
  </si>
  <si>
    <t xml:space="preserve">   Cost of Goods Sold</t>
  </si>
  <si>
    <t xml:space="preserve">   Credit Card Processing Fee</t>
  </si>
  <si>
    <t xml:space="preserve">   Freight &amp; delivery - COGS</t>
  </si>
  <si>
    <t xml:space="preserve">      DHL</t>
  </si>
  <si>
    <t xml:space="preserve">      Endica</t>
  </si>
  <si>
    <t xml:space="preserve">      Newgistics</t>
  </si>
  <si>
    <t xml:space="preserve">      Shipping - Inventory Orders</t>
  </si>
  <si>
    <t xml:space="preserve">      USPS (deleted)</t>
  </si>
  <si>
    <t xml:space="preserve">   Total Freight &amp; delivery - COGS</t>
  </si>
  <si>
    <t xml:space="preserve">   Lost or Stolen Merchandise</t>
  </si>
  <si>
    <t xml:space="preserve">   Packaging Supplies</t>
  </si>
  <si>
    <t xml:space="preserve">   Sales Tax</t>
  </si>
  <si>
    <t xml:space="preserve">   Supplies &amp; Materials - COGS, inventory (deleted)</t>
  </si>
  <si>
    <t>Total Cost of Goods Sold</t>
  </si>
  <si>
    <t>Gross Profit</t>
  </si>
  <si>
    <t>Expenses</t>
  </si>
  <si>
    <t xml:space="preserve">   Dues &amp; Subscriptions</t>
  </si>
  <si>
    <t xml:space="preserve">   General &amp; Administration</t>
  </si>
  <si>
    <t xml:space="preserve">      Bank Charges</t>
  </si>
  <si>
    <t xml:space="preserve">         Foreign Transaction Fee</t>
  </si>
  <si>
    <t xml:space="preserve">      Total Bank Charges</t>
  </si>
  <si>
    <t xml:space="preserve">      Hardware Expense</t>
  </si>
  <si>
    <t xml:space="preserve">      Insurance</t>
  </si>
  <si>
    <t xml:space="preserve">      Inventory Samples</t>
  </si>
  <si>
    <t xml:space="preserve">      Office Expenses</t>
  </si>
  <si>
    <t xml:space="preserve">         Employee Welfare</t>
  </si>
  <si>
    <t xml:space="preserve">         Office Supplies</t>
  </si>
  <si>
    <t xml:space="preserve">      Total Office Expenses</t>
  </si>
  <si>
    <t xml:space="preserve">      Postage and Delivery</t>
  </si>
  <si>
    <t xml:space="preserve">         Non-COGS Postage</t>
  </si>
  <si>
    <t xml:space="preserve">         UPS (deleted)</t>
  </si>
  <si>
    <t xml:space="preserve">      Total Postage and Delivery</t>
  </si>
  <si>
    <t xml:space="preserve">      Professional Services</t>
  </si>
  <si>
    <t xml:space="preserve">         Accounting</t>
  </si>
  <si>
    <t xml:space="preserve">         Contractors</t>
  </si>
  <si>
    <t xml:space="preserve">         Legal</t>
  </si>
  <si>
    <t xml:space="preserve">      Total Professional Services</t>
  </si>
  <si>
    <t xml:space="preserve">      Recruiting Fees</t>
  </si>
  <si>
    <t xml:space="preserve">      Rent Expense</t>
  </si>
  <si>
    <t xml:space="preserve">      Software &amp; Web Services</t>
  </si>
  <si>
    <t xml:space="preserve">      Stationery &amp; Printing</t>
  </si>
  <si>
    <t xml:space="preserve">      Taxes &amp; Licenses</t>
  </si>
  <si>
    <t xml:space="preserve">      Travel</t>
  </si>
  <si>
    <t xml:space="preserve">         Meals and Entertainment</t>
  </si>
  <si>
    <t xml:space="preserve">      Total Travel</t>
  </si>
  <si>
    <t xml:space="preserve">      Utilities</t>
  </si>
  <si>
    <t xml:space="preserve">      Warehouse Supplies</t>
  </si>
  <si>
    <t xml:space="preserve">   Total General &amp; Administration</t>
  </si>
  <si>
    <t xml:space="preserve">   Insurance - Liability</t>
  </si>
  <si>
    <t xml:space="preserve">   Marketing &amp; Advertising</t>
  </si>
  <si>
    <t xml:space="preserve">      Adroll</t>
  </si>
  <si>
    <t xml:space="preserve">      Adwords</t>
  </si>
  <si>
    <t xml:space="preserve">      Affiliate Commissions</t>
  </si>
  <si>
    <t xml:space="preserve">      Facebook</t>
  </si>
  <si>
    <t xml:space="preserve">      Marketing Software</t>
  </si>
  <si>
    <t xml:space="preserve">      Other Marketing</t>
  </si>
  <si>
    <t xml:space="preserve">      pinterest</t>
  </si>
  <si>
    <t xml:space="preserve">      Postable</t>
  </si>
  <si>
    <t xml:space="preserve">      ShareASale</t>
  </si>
  <si>
    <t xml:space="preserve">      Twilio</t>
  </si>
  <si>
    <t xml:space="preserve">   Total Marketing &amp; Advertising</t>
  </si>
  <si>
    <t xml:space="preserve">   Payroll Expenses</t>
  </si>
  <si>
    <t xml:space="preserve">      Benefits</t>
  </si>
  <si>
    <t xml:space="preserve">      Payroll Processing Fees</t>
  </si>
  <si>
    <t xml:space="preserve">      Payroll Taxes</t>
  </si>
  <si>
    <t xml:space="preserve">      Wages</t>
  </si>
  <si>
    <t xml:space="preserve">         Corporate</t>
  </si>
  <si>
    <t xml:space="preserve">            Contract Labor</t>
  </si>
  <si>
    <t xml:space="preserve">            Employees</t>
  </si>
  <si>
    <t xml:space="preserve">         Total Corporate</t>
  </si>
  <si>
    <t xml:space="preserve">         Customer Service</t>
  </si>
  <si>
    <t xml:space="preserve">            Contract Labor (Upwork &amp; Check)</t>
  </si>
  <si>
    <t xml:space="preserve">         Total Customer Service</t>
  </si>
  <si>
    <t xml:space="preserve">         Styling</t>
  </si>
  <si>
    <t xml:space="preserve">         Total Styling</t>
  </si>
  <si>
    <t xml:space="preserve">         Warehouse</t>
  </si>
  <si>
    <t xml:space="preserve">         Total Warehouse</t>
  </si>
  <si>
    <t xml:space="preserve">      Total Wages</t>
  </si>
  <si>
    <t xml:space="preserve">   Total Payroll Expenses</t>
  </si>
  <si>
    <t xml:space="preserve">   Promotional</t>
  </si>
  <si>
    <t xml:space="preserve">   Repair &amp; Maintenance</t>
  </si>
  <si>
    <t>Total Expenses</t>
  </si>
  <si>
    <t>Net Operating Income</t>
  </si>
  <si>
    <t>Other Income</t>
  </si>
  <si>
    <t xml:space="preserve">   Interest Earned</t>
  </si>
  <si>
    <t>Total Other Income</t>
  </si>
  <si>
    <t>Other Expenses</t>
  </si>
  <si>
    <t xml:space="preserve">   Interest Expense</t>
  </si>
  <si>
    <t xml:space="preserve">      Interest Paid - Able Loan 3</t>
  </si>
  <si>
    <t xml:space="preserve">   Total Interest Expense</t>
  </si>
  <si>
    <t xml:space="preserve">   Loan Fees</t>
  </si>
  <si>
    <t>Total Other Expenses</t>
  </si>
  <si>
    <t>Net Other Income</t>
  </si>
  <si>
    <t>Net Income</t>
  </si>
  <si>
    <t>Thursday, Feb 06, 2020 04:02:20 PM GMT-8 - Accrual Basis</t>
  </si>
  <si>
    <t>January - December 2017</t>
  </si>
  <si>
    <t>Jan 2017</t>
  </si>
  <si>
    <t>Feb 2017</t>
  </si>
  <si>
    <t>Mar 2017</t>
  </si>
  <si>
    <t>Apr 2017</t>
  </si>
  <si>
    <t>May 2017</t>
  </si>
  <si>
    <t>Jun 2017</t>
  </si>
  <si>
    <t>Jul 2017</t>
  </si>
  <si>
    <t>Aug 2017</t>
  </si>
  <si>
    <t>Sep 2017</t>
  </si>
  <si>
    <t>Oct 2017</t>
  </si>
  <si>
    <t>Nov 2017</t>
  </si>
  <si>
    <t>Dec 2017</t>
  </si>
  <si>
    <t xml:space="preserve">      Donation</t>
  </si>
  <si>
    <t xml:space="preserve">         Strategy</t>
  </si>
  <si>
    <t xml:space="preserve">         Upwork</t>
  </si>
  <si>
    <t xml:space="preserve">      Interest Paid - Able Loan 2</t>
  </si>
  <si>
    <t xml:space="preserve">      Interest Paid - Credit Cards</t>
  </si>
  <si>
    <t xml:space="preserve">      Notes Interest</t>
  </si>
  <si>
    <t>Thursday, Feb 06, 2020 04:01:57 PM GMT-8 - Accrual Basis</t>
  </si>
  <si>
    <t>January - December 2016</t>
  </si>
  <si>
    <t>Jan 2016</t>
  </si>
  <si>
    <t>Feb 2016</t>
  </si>
  <si>
    <t>Mar 2016</t>
  </si>
  <si>
    <t>Apr 2016</t>
  </si>
  <si>
    <t>May 2016</t>
  </si>
  <si>
    <t>Jun 2016</t>
  </si>
  <si>
    <t>Jul 2016</t>
  </si>
  <si>
    <t>Aug 2016</t>
  </si>
  <si>
    <t>Sep 2016</t>
  </si>
  <si>
    <t>Oct 2016</t>
  </si>
  <si>
    <t>Nov 2016</t>
  </si>
  <si>
    <t>Dec 2016</t>
  </si>
  <si>
    <t xml:space="preserve">   Credit Card Processing Fees</t>
  </si>
  <si>
    <t xml:space="preserve">      Paid Advertising</t>
  </si>
  <si>
    <t xml:space="preserve">      Paypal</t>
  </si>
  <si>
    <t xml:space="preserve">   Shipping and delivery expense (deleted)</t>
  </si>
  <si>
    <t xml:space="preserve">      DHL (deleted)</t>
  </si>
  <si>
    <t xml:space="preserve">      EasyPost (deleted)</t>
  </si>
  <si>
    <t xml:space="preserve">      Endicia (deleted)</t>
  </si>
  <si>
    <t xml:space="preserve">      Fedex (deleted)</t>
  </si>
  <si>
    <t xml:space="preserve">      Shipping Supplies (deleted)</t>
  </si>
  <si>
    <t xml:space="preserve">      U.P.S. (deleted)</t>
  </si>
  <si>
    <t xml:space="preserve">   Total Shipping and delivery expense (deleted)</t>
  </si>
  <si>
    <t xml:space="preserve">   Other Miscellaneous Income</t>
  </si>
  <si>
    <t xml:space="preserve">      Interest Paid - Able Loan 1</t>
  </si>
  <si>
    <t xml:space="preserve">      Interest Paid - Christine Harmel</t>
  </si>
  <si>
    <t>Thursday, Feb 06, 2020 04:01:39 PM GMT-8 - Accrual Basis</t>
  </si>
  <si>
    <t>January - December 2015</t>
  </si>
  <si>
    <t>Jan 2015</t>
  </si>
  <si>
    <t>Feb 2015</t>
  </si>
  <si>
    <t>Mar 2015</t>
  </si>
  <si>
    <t>Apr 2015</t>
  </si>
  <si>
    <t>May 2015</t>
  </si>
  <si>
    <t>Jun 2015</t>
  </si>
  <si>
    <t>Jul 2015</t>
  </si>
  <si>
    <t>Aug 2015</t>
  </si>
  <si>
    <t>Sep 2015</t>
  </si>
  <si>
    <t>Oct 2015</t>
  </si>
  <si>
    <t>Nov 2015</t>
  </si>
  <si>
    <t>Dec 2015</t>
  </si>
  <si>
    <t xml:space="preserve">   Contract Labor(do not use)</t>
  </si>
  <si>
    <t xml:space="preserve">   Fuel Expense</t>
  </si>
  <si>
    <t xml:space="preserve">      Expenses</t>
  </si>
  <si>
    <t xml:space="preserve">      Wireless Service</t>
  </si>
  <si>
    <t xml:space="preserve">   Internet Hosting/Service Fees (deleted)</t>
  </si>
  <si>
    <t xml:space="preserve">   Legal &amp; Professional Fees (deleted)</t>
  </si>
  <si>
    <t xml:space="preserve">   Marketing Expense</t>
  </si>
  <si>
    <t xml:space="preserve">   Meals 2015</t>
  </si>
  <si>
    <t xml:space="preserve">   Miscellaneous</t>
  </si>
  <si>
    <t xml:space="preserve">   Packaging Supplies. (deleted)</t>
  </si>
  <si>
    <t xml:space="preserve">      Labels (deleted)</t>
  </si>
  <si>
    <t xml:space="preserve">   Total Packaging Supplies. (deleted)</t>
  </si>
  <si>
    <t xml:space="preserve">   Stolen Merchandise</t>
  </si>
  <si>
    <t>Thursday, Feb 06, 2020 04:01:15 PM GMT-8 - Accrual Basis</t>
  </si>
  <si>
    <t>January - December 2019</t>
  </si>
  <si>
    <t>Jan 2019</t>
  </si>
  <si>
    <t>Feb 2019</t>
  </si>
  <si>
    <t>Mar 2019</t>
  </si>
  <si>
    <t>Apr 2019</t>
  </si>
  <si>
    <t>May 2019</t>
  </si>
  <si>
    <t>Jun 2019</t>
  </si>
  <si>
    <t>Jul 2019</t>
  </si>
  <si>
    <t>Aug 2019</t>
  </si>
  <si>
    <t>Sep 2019</t>
  </si>
  <si>
    <t>Oct 2019</t>
  </si>
  <si>
    <t>Nov 2019</t>
  </si>
  <si>
    <t>Dec 2019</t>
  </si>
  <si>
    <t xml:space="preserve">   Education</t>
  </si>
  <si>
    <t xml:space="preserve">         HR</t>
  </si>
  <si>
    <t xml:space="preserve">      Consulting Services</t>
  </si>
  <si>
    <t xml:space="preserve">   Product Testing</t>
  </si>
  <si>
    <t xml:space="preserve">   Storage</t>
  </si>
  <si>
    <t xml:space="preserve">   Uncategorized Expense</t>
  </si>
  <si>
    <t>Thursday, Feb 06, 2020 04:02:36 PM GMT-8 - Accrual Basis</t>
  </si>
  <si>
    <t>Unit Economics</t>
  </si>
  <si>
    <t>Customers</t>
  </si>
  <si>
    <t xml:space="preserve">   Customers Begin</t>
  </si>
  <si>
    <t xml:space="preserve">   Customers End</t>
  </si>
  <si>
    <t>Net Customers</t>
  </si>
  <si>
    <t>Signups</t>
  </si>
  <si>
    <t>Shipments</t>
  </si>
  <si>
    <t xml:space="preserve">   Items Returned</t>
  </si>
  <si>
    <t xml:space="preserve">   New Signups</t>
  </si>
  <si>
    <t xml:space="preserve">   Completed Shipments</t>
  </si>
  <si>
    <t xml:space="preserve">   Net Churn</t>
  </si>
  <si>
    <t>Customer &amp; Shipments</t>
  </si>
  <si>
    <t>Actuals</t>
  </si>
  <si>
    <t>Forecast</t>
  </si>
  <si>
    <t>Jan 2015 - Dec 2019 - Dec 2021 Forecast</t>
  </si>
  <si>
    <t>Assumptions</t>
  </si>
  <si>
    <t>Churn %</t>
  </si>
  <si>
    <t>Operating Statistics</t>
  </si>
  <si>
    <t xml:space="preserve">   Shipments / Customer</t>
  </si>
  <si>
    <t xml:space="preserve">   Advertising Spend</t>
  </si>
  <si>
    <t xml:space="preserve">   Ad Spend Increase (MoM)</t>
  </si>
  <si>
    <t xml:space="preserve">   CAC</t>
  </si>
  <si>
    <t xml:space="preserve">   LTV</t>
  </si>
  <si>
    <t xml:space="preserve">   Net Items / Customer</t>
  </si>
  <si>
    <t>Net Items</t>
  </si>
  <si>
    <t xml:space="preserve">   Items Shipped</t>
  </si>
  <si>
    <t>LTV: CAC</t>
  </si>
  <si>
    <t>Shipm. / Customer</t>
  </si>
  <si>
    <t>Net I. / Customer</t>
  </si>
  <si>
    <t>CAC</t>
  </si>
  <si>
    <t>Starting Ad Spend</t>
  </si>
  <si>
    <t>Gross Profit %</t>
  </si>
  <si>
    <t>Gross Profit (%)</t>
  </si>
  <si>
    <t>Total Inc/ Shipm't</t>
  </si>
  <si>
    <t>COGS / Total Inc.</t>
  </si>
  <si>
    <t>Card Fee/ Total In</t>
  </si>
  <si>
    <t>Freight / Total Inc</t>
  </si>
  <si>
    <t>Lost / Total Inc</t>
  </si>
  <si>
    <t>Pack / Total Inc</t>
  </si>
  <si>
    <t>Tax/ Total Inc</t>
  </si>
  <si>
    <t>CHECK</t>
  </si>
  <si>
    <t>Bank / Total Inc</t>
  </si>
  <si>
    <t>Postage / T Inc</t>
  </si>
  <si>
    <t>Prof. / Total Inc</t>
  </si>
  <si>
    <t xml:space="preserve">Gross Profit    </t>
  </si>
  <si>
    <t>Marketing</t>
  </si>
  <si>
    <t>Payroll</t>
  </si>
  <si>
    <t xml:space="preserve">Total Expenses </t>
  </si>
  <si>
    <t xml:space="preserve">Operating Income </t>
  </si>
  <si>
    <t xml:space="preserve">Income </t>
  </si>
  <si>
    <t>Thursday, Feb 06, 2020 04:04:45 PM GMT-8 - Accrual Basis</t>
  </si>
  <si>
    <t>TOTAL LIABILITIES AND EQUITY</t>
  </si>
  <si>
    <t xml:space="preserve">   Total Equity</t>
  </si>
  <si>
    <t xml:space="preserve">      Net Income</t>
  </si>
  <si>
    <t xml:space="preserve">      Seed Series</t>
  </si>
  <si>
    <t xml:space="preserve">      Round 3 Equity</t>
  </si>
  <si>
    <t xml:space="preserve">      Round 2 Equity</t>
  </si>
  <si>
    <t xml:space="preserve">      Round 1 Equity</t>
  </si>
  <si>
    <t xml:space="preserve">      Retained Earnings</t>
  </si>
  <si>
    <t xml:space="preserve">      Total Partner's Equity</t>
  </si>
  <si>
    <t xml:space="preserve">         Total Sidney Williams's Equity</t>
  </si>
  <si>
    <t xml:space="preserve">            Sidney Williams Contributions</t>
  </si>
  <si>
    <t xml:space="preserve">         Sidney Williams's Equity</t>
  </si>
  <si>
    <t xml:space="preserve">         Total Benjamin Munoz's Equity</t>
  </si>
  <si>
    <t xml:space="preserve">            Benjamin Munoz Distributions</t>
  </si>
  <si>
    <t xml:space="preserve">            Benjamin Munoz Contributions</t>
  </si>
  <si>
    <t xml:space="preserve">         Benjamin Munoz's Equity</t>
  </si>
  <si>
    <t xml:space="preserve">      Partner's Equity</t>
  </si>
  <si>
    <t xml:space="preserve">      Inventory Investment</t>
  </si>
  <si>
    <t xml:space="preserve">   Equity</t>
  </si>
  <si>
    <t xml:space="preserve">   Total Liabilities</t>
  </si>
  <si>
    <t xml:space="preserve">      Total Long-Term Liabilities</t>
  </si>
  <si>
    <t xml:space="preserve">         Total Convertible Notes</t>
  </si>
  <si>
    <t xml:space="preserve">            Total Round 3</t>
  </si>
  <si>
    <t xml:space="preserve">               Accrued Interest - Round 3 Notes</t>
  </si>
  <si>
    <t xml:space="preserve">            Round 3</t>
  </si>
  <si>
    <t xml:space="preserve">            Total Round 2</t>
  </si>
  <si>
    <t xml:space="preserve">               Accrued Interest - Round 2 Notes</t>
  </si>
  <si>
    <t xml:space="preserve">            Round 2</t>
  </si>
  <si>
    <t xml:space="preserve">            Total Round 1</t>
  </si>
  <si>
    <t xml:space="preserve">               Accrued Interest - Round 1 Notes</t>
  </si>
  <si>
    <t xml:space="preserve">            Round 1</t>
  </si>
  <si>
    <t xml:space="preserve">         Convertible Notes</t>
  </si>
  <si>
    <t xml:space="preserve">      Long-Term Liabilities</t>
  </si>
  <si>
    <t xml:space="preserve">      Total Current Liabilities</t>
  </si>
  <si>
    <t xml:space="preserve">         Total Other Current Liabilities</t>
  </si>
  <si>
    <t xml:space="preserve">            Sales Tax Payable</t>
  </si>
  <si>
    <t xml:space="preserve">            Total Payroll Liabilities</t>
  </si>
  <si>
    <t xml:space="preserve">               TX Unemployment Tax</t>
  </si>
  <si>
    <t xml:space="preserve">               Federal Unemployment (940)</t>
  </si>
  <si>
    <t xml:space="preserve">               Federal Taxes (941/944)</t>
  </si>
  <si>
    <t xml:space="preserve">            Payroll Liabilities</t>
  </si>
  <si>
    <t xml:space="preserve">            Payroll Clearing</t>
  </si>
  <si>
    <t xml:space="preserve">            Total Loan Payable</t>
  </si>
  <si>
    <t xml:space="preserve">               Loan Payable - Christine Harmel</t>
  </si>
  <si>
    <t xml:space="preserve">            Loan Payable</t>
  </si>
  <si>
    <t xml:space="preserve">            Direct Deposit Payable</t>
  </si>
  <si>
    <t xml:space="preserve">            Deferred Payroll</t>
  </si>
  <si>
    <t xml:space="preserve">            Able Lending Loan 3</t>
  </si>
  <si>
    <t xml:space="preserve">            Able Lending Loan 2</t>
  </si>
  <si>
    <t xml:space="preserve">            Able Lending Loan 1</t>
  </si>
  <si>
    <t xml:space="preserve">         Other Current Liabilities</t>
  </si>
  <si>
    <t xml:space="preserve">         Total Credit Cards</t>
  </si>
  <si>
    <t xml:space="preserve">            Wells Fargo Credit Card 9276</t>
  </si>
  <si>
    <t xml:space="preserve">            Total Main Master Card(0035)</t>
  </si>
  <si>
    <t xml:space="preserve">               Comerica Credit Card(0043)</t>
  </si>
  <si>
    <t xml:space="preserve">            Main Master Card(0035)</t>
  </si>
  <si>
    <t xml:space="preserve">            Total Credit Cards</t>
  </si>
  <si>
    <t xml:space="preserve">               Total Chase Southwest Credit Card(7183)</t>
  </si>
  <si>
    <t xml:space="preserve">                  Chase M.Cruz (0991)</t>
  </si>
  <si>
    <t xml:space="preserve">               Chase Southwest Credit Card(7183)</t>
  </si>
  <si>
    <t xml:space="preserve">               Chase CC 7144</t>
  </si>
  <si>
    <t xml:space="preserve">               B. MUNOZ III (2097)</t>
  </si>
  <si>
    <t xml:space="preserve">               Amex (3000)</t>
  </si>
  <si>
    <t xml:space="preserve">               Amex (21008)</t>
  </si>
  <si>
    <t xml:space="preserve">               Amex (1002)</t>
  </si>
  <si>
    <t xml:space="preserve">            Credit Cards</t>
  </si>
  <si>
    <t xml:space="preserve">         Credit Cards</t>
  </si>
  <si>
    <t xml:space="preserve">         Total Accounts Payable</t>
  </si>
  <si>
    <t xml:space="preserve">            Rent Payable</t>
  </si>
  <si>
    <t xml:space="preserve">            Accounts Payable</t>
  </si>
  <si>
    <t xml:space="preserve">         Accounts Payable</t>
  </si>
  <si>
    <t xml:space="preserve">      Current Liabilities</t>
  </si>
  <si>
    <t xml:space="preserve">   Liabilities</t>
  </si>
  <si>
    <t>LIABILITIES AND EQUITY</t>
  </si>
  <si>
    <t>TOTAL ASSETS</t>
  </si>
  <si>
    <t xml:space="preserve">   Total Current Assets</t>
  </si>
  <si>
    <t xml:space="preserve">      Total Other Current Assets</t>
  </si>
  <si>
    <t xml:space="preserve">         Uncategorized Asset</t>
  </si>
  <si>
    <t xml:space="preserve">         Prepaid Expenses</t>
  </si>
  <si>
    <t xml:space="preserve">         Inventory Asset</t>
  </si>
  <si>
    <t xml:space="preserve">         Deposit Paid</t>
  </si>
  <si>
    <t xml:space="preserve">      Other Current Assets</t>
  </si>
  <si>
    <t xml:space="preserve">      Total Accounts Receivable</t>
  </si>
  <si>
    <t xml:space="preserve">         Paymentech</t>
  </si>
  <si>
    <t xml:space="preserve">      Accounts Receivable</t>
  </si>
  <si>
    <t xml:space="preserve">      Total Bank Accounts</t>
  </si>
  <si>
    <t xml:space="preserve">         Wells Fargo Savings 1950</t>
  </si>
  <si>
    <t xml:space="preserve">         Wells Fargo Checking 3718</t>
  </si>
  <si>
    <t xml:space="preserve">         Wells Fargo CC Savings</t>
  </si>
  <si>
    <t xml:space="preserve">         Comerica Savings(6445)</t>
  </si>
  <si>
    <t xml:space="preserve">         Comerica CheckingSavings(3803)</t>
  </si>
  <si>
    <t xml:space="preserve">         Comerica Checking(6436)</t>
  </si>
  <si>
    <t xml:space="preserve">         BUSINESSSELECT CHKG (5872)</t>
  </si>
  <si>
    <t xml:space="preserve">         Bill.com Money Out Clearing</t>
  </si>
  <si>
    <t xml:space="preserve">      Bank Accounts</t>
  </si>
  <si>
    <t xml:space="preserve">   Current Assets</t>
  </si>
  <si>
    <t>ASSETS</t>
  </si>
  <si>
    <t>As of December 31, 2018</t>
  </si>
  <si>
    <t>Balance Sheet</t>
  </si>
  <si>
    <t>As of December 31, 2017</t>
  </si>
  <si>
    <t>Thursday, Feb 06, 2020 04:05:05 PM GMT-8 - Accrual Basis</t>
  </si>
  <si>
    <t>As of December 31, 2016</t>
  </si>
  <si>
    <t>Thursday, Feb 06, 2020 04:05:24 PM GMT-8 - Accrual Basis</t>
  </si>
  <si>
    <t>Thursday, Feb 06, 2020 04:05:45 PM GMT-8 - Accrual Basis</t>
  </si>
  <si>
    <t>As of December 31, 2015</t>
  </si>
  <si>
    <t>As of December 31, 2019</t>
  </si>
  <si>
    <t xml:space="preserve">   Fixed Assets</t>
  </si>
  <si>
    <t xml:space="preserve">      Fixed Assets</t>
  </si>
  <si>
    <t xml:space="preserve">         Equipment</t>
  </si>
  <si>
    <t xml:space="preserve">      Total Fixed Assets</t>
  </si>
  <si>
    <t xml:space="preserve">      Leasehold Improvements</t>
  </si>
  <si>
    <t xml:space="preserve">   Total Fixed Assets</t>
  </si>
  <si>
    <t xml:space="preserve">            Chase CC 7922</t>
  </si>
  <si>
    <t xml:space="preserve">               Ben's Comerica Credit Card 0050</t>
  </si>
  <si>
    <t xml:space="preserve">               Capital One 9534</t>
  </si>
  <si>
    <t xml:space="preserve">               Capital One Spark 8774 (4536)</t>
  </si>
  <si>
    <t xml:space="preserve">               Chase M.Cruz  (0991)</t>
  </si>
  <si>
    <t xml:space="preserve">      Opening Balance Equity</t>
  </si>
  <si>
    <t>Thursday, Feb 06, 2020 04:04:20 PM GMT-8 - Accrual Basis</t>
  </si>
  <si>
    <t>Statement of Cash Flows</t>
  </si>
  <si>
    <t>OPERATING ACTIVITIES</t>
  </si>
  <si>
    <t xml:space="preserve">   Net Income</t>
  </si>
  <si>
    <t xml:space="preserve">   Adjustments to reconcile Net Income to Net Cash provided by operations:</t>
  </si>
  <si>
    <t xml:space="preserve">      Deposit Paid</t>
  </si>
  <si>
    <t xml:space="preserve">      Inventory Asset</t>
  </si>
  <si>
    <t xml:space="preserve">      Prepaid Expenses</t>
  </si>
  <si>
    <t xml:space="preserve">      Accounts Payable</t>
  </si>
  <si>
    <t xml:space="preserve">      Credit Cards:Amex (1002)</t>
  </si>
  <si>
    <t xml:space="preserve">      Credit Cards:Amex (21008)</t>
  </si>
  <si>
    <t xml:space="preserve">      Credit Cards:Chase CC 7144</t>
  </si>
  <si>
    <t xml:space="preserve">      Credit Cards:Chase Southwest Credit Card(7183)</t>
  </si>
  <si>
    <t xml:space="preserve">      Credit Cards:Chase Southwest Credit Card(7183):Chase M.Cruz (0991)</t>
  </si>
  <si>
    <t xml:space="preserve">      Main Master Card(0035):Comerica Credit Card(0043)</t>
  </si>
  <si>
    <t xml:space="preserve">      Able Lending Loan 3</t>
  </si>
  <si>
    <t xml:space="preserve">      Payroll Clearing</t>
  </si>
  <si>
    <t xml:space="preserve">      Sales Tax Payable</t>
  </si>
  <si>
    <t xml:space="preserve">   Total Adjustments to reconcile Net Income to Net Cash provided by operations:</t>
  </si>
  <si>
    <t>Net cash provided by operating activities</t>
  </si>
  <si>
    <t>FINANCING ACTIVITIES</t>
  </si>
  <si>
    <t xml:space="preserve">   Seed Series</t>
  </si>
  <si>
    <t>Net cash provided by financing activities</t>
  </si>
  <si>
    <t>Net cash increase for period</t>
  </si>
  <si>
    <t>Thursday, Feb 06, 2020 04:22:36 PM GMT-8</t>
  </si>
  <si>
    <t xml:space="preserve">      Rent Payable</t>
  </si>
  <si>
    <t xml:space="preserve">      Credit Cards</t>
  </si>
  <si>
    <t xml:space="preserve">      Credit Cards:Amex (3000)</t>
  </si>
  <si>
    <t xml:space="preserve">      Credit Cards:B. MUNOZ III (2097)</t>
  </si>
  <si>
    <t xml:space="preserve">      Wells Fargo Credit Card 9276</t>
  </si>
  <si>
    <t xml:space="preserve">      Able Lending Loan 1</t>
  </si>
  <si>
    <t xml:space="preserve">      Able Lending Loan 2</t>
  </si>
  <si>
    <t xml:space="preserve">      Deferred Payroll</t>
  </si>
  <si>
    <t xml:space="preserve">      Loan Payable</t>
  </si>
  <si>
    <t xml:space="preserve">      Loan Payable:Loan Payable - Christine Harmel</t>
  </si>
  <si>
    <t xml:space="preserve">      Payroll Liabilities:Federal Taxes (941/944)</t>
  </si>
  <si>
    <t xml:space="preserve">      Payroll Liabilities:Federal Unemployment (940)</t>
  </si>
  <si>
    <t xml:space="preserve">      Payroll Liabilities:TX Unemployment Tax</t>
  </si>
  <si>
    <t xml:space="preserve">   Convertible Notes:Round 1</t>
  </si>
  <si>
    <t xml:space="preserve">   Convertible Notes:Round 1:Accrued Interest - Round 1 Notes</t>
  </si>
  <si>
    <t xml:space="preserve">   Convertible Notes:Round 2</t>
  </si>
  <si>
    <t xml:space="preserve">   Convertible Notes:Round 2:Accrued Interest - Round 2 Notes</t>
  </si>
  <si>
    <t xml:space="preserve">   Convertible Notes:Round 3</t>
  </si>
  <si>
    <t xml:space="preserve">   Partner's Equity:Benjamin Munoz's Equity:Benjamin Munoz Distributions</t>
  </si>
  <si>
    <t xml:space="preserve">   Round 1 Equity</t>
  </si>
  <si>
    <t xml:space="preserve">   Round 2 Equity</t>
  </si>
  <si>
    <t>Thursday, Feb 06, 2020 04:23:22 PM GMT-8</t>
  </si>
  <si>
    <t>Thursday, Feb 06, 2020 04:23:45 PM GMT-8</t>
  </si>
  <si>
    <t xml:space="preserve">   Retained Earnings</t>
  </si>
  <si>
    <t xml:space="preserve">   Partner's Equity:Sidney Williams's Equity:Sidney Williams Contributions</t>
  </si>
  <si>
    <t xml:space="preserve">   Partner's Equity:Benjamin Munoz's Equity:Benjamin Munoz Contributions</t>
  </si>
  <si>
    <t xml:space="preserve">   Inventory Investment</t>
  </si>
  <si>
    <t xml:space="preserve">      Uncategorized Asset</t>
  </si>
  <si>
    <t xml:space="preserve">      Chase CC 7922</t>
  </si>
  <si>
    <t xml:space="preserve">      Credit Cards:Ben's Comerica Credit Card 0050</t>
  </si>
  <si>
    <t xml:space="preserve">      Credit Cards:Capital One 9534</t>
  </si>
  <si>
    <t xml:space="preserve">      Credit Cards:Capital One Spark 8774 (4536)</t>
  </si>
  <si>
    <t xml:space="preserve">      Credit Cards:Chase M.Cruz  (0991)</t>
  </si>
  <si>
    <t xml:space="preserve">      Payroll Liabilities</t>
  </si>
  <si>
    <t>INVESTING ACTIVITIES</t>
  </si>
  <si>
    <t xml:space="preserve">   Fixed Assets:Equipment</t>
  </si>
  <si>
    <t xml:space="preserve">   Leasehold Improvements</t>
  </si>
  <si>
    <t>Net cash provided by investing activities</t>
  </si>
  <si>
    <t xml:space="preserve">   Opening Balance Equity</t>
  </si>
  <si>
    <t>Thursday, Feb 06, 2020 04:22:20 PM GMT-8</t>
  </si>
  <si>
    <t xml:space="preserve">   Convertible Notes:Round 3:Accrued Interest - Round 3 Notes</t>
  </si>
  <si>
    <t xml:space="preserve">   Round 3 Equity</t>
  </si>
  <si>
    <t>Thursday, Feb 06, 2020 04:23:04 PM GMT-8</t>
  </si>
  <si>
    <t>Cash Balance</t>
  </si>
  <si>
    <t>External Investment</t>
  </si>
  <si>
    <t xml:space="preserve">   of which net income</t>
  </si>
  <si>
    <t>Net Inv / Shipment</t>
  </si>
  <si>
    <t>Net cash excl. inc.</t>
  </si>
  <si>
    <t>Net Inventory Change</t>
  </si>
  <si>
    <t>Travel / Inc</t>
  </si>
  <si>
    <t>Warehouse / Inc</t>
  </si>
  <si>
    <t>Mom Growth</t>
  </si>
  <si>
    <t>Corp / Inc</t>
  </si>
  <si>
    <t>Styl / Inc</t>
  </si>
  <si>
    <t>Ware/ Inc</t>
  </si>
  <si>
    <t>Cust / Inc</t>
  </si>
  <si>
    <t>Office / Wages</t>
  </si>
  <si>
    <t xml:space="preserve">   Other Expenses</t>
  </si>
  <si>
    <t>Financial Model Summary</t>
  </si>
  <si>
    <t xml:space="preserve">   YoY Growth (%)</t>
  </si>
  <si>
    <t>MoM Increase '20</t>
  </si>
  <si>
    <t>MoM Increase '21</t>
  </si>
  <si>
    <t xml:space="preserve">   Net Operating Income (%)</t>
  </si>
  <si>
    <t xml:space="preserve">   Net Income (%)</t>
  </si>
  <si>
    <t xml:space="preserve">      End Bank Accounts</t>
  </si>
  <si>
    <t>Jan 2020</t>
  </si>
  <si>
    <t>Feb 2020</t>
  </si>
  <si>
    <t>Mar 2020</t>
  </si>
  <si>
    <t xml:space="preserve">         Consulting</t>
  </si>
  <si>
    <t xml:space="preserve">   Insurance</t>
  </si>
  <si>
    <t xml:space="preserve">      Insurance - Liability</t>
  </si>
  <si>
    <t xml:space="preserve">      Insurance- Other</t>
  </si>
  <si>
    <t xml:space="preserve">   Total Insurance</t>
  </si>
  <si>
    <t>Jan 2015 - Mar 2020 - Dec 2021 Forecast</t>
  </si>
  <si>
    <t>Updated / added 31/05/2020</t>
  </si>
  <si>
    <t>June 2017 - March 2020</t>
  </si>
  <si>
    <t>Apr 2020</t>
  </si>
  <si>
    <t>May 2020</t>
  </si>
  <si>
    <t xml:space="preserve">   Security</t>
  </si>
  <si>
    <t xml:space="preserve">   Unapplied Cash Bill Payment Expense</t>
  </si>
  <si>
    <t>Updated / added 14/06/2020</t>
  </si>
  <si>
    <t>Fundraise (06/20)</t>
  </si>
  <si>
    <t>Financial Model Dashboard</t>
  </si>
  <si>
    <t>Key inputs and assumptions</t>
  </si>
  <si>
    <t>Monthly churn</t>
  </si>
  <si>
    <t>Blue assumptions can be edited here</t>
  </si>
  <si>
    <t>White assumptions can be edited on dashboard</t>
  </si>
  <si>
    <t>Assumption</t>
  </si>
  <si>
    <t>Average L6M</t>
  </si>
  <si>
    <t>Average L12M</t>
  </si>
  <si>
    <t>Approach</t>
  </si>
  <si>
    <t>Conservative, use L12M</t>
  </si>
  <si>
    <t>Conservative, use higher value than L6M</t>
  </si>
  <si>
    <t>Conservative, use lower value than L6M</t>
  </si>
  <si>
    <t>Aggressive, expect increase vs. L6M and L12M (similar to pre-COVID)</t>
  </si>
  <si>
    <t>Key results</t>
  </si>
  <si>
    <t>YoY Growth (%)</t>
  </si>
  <si>
    <t>Gross Profift (%)</t>
  </si>
  <si>
    <t>Net Income (%)</t>
  </si>
  <si>
    <t>Net Inventory Asset Change</t>
  </si>
  <si>
    <t>Net Cash Increase</t>
  </si>
  <si>
    <t xml:space="preserve">Ending Cash Balance </t>
  </si>
  <si>
    <t>Total Income ($M)</t>
  </si>
  <si>
    <t>Sensitivy analysis</t>
  </si>
  <si>
    <t>Jun 2020</t>
  </si>
  <si>
    <t>January - June, 2020</t>
  </si>
  <si>
    <t xml:space="preserve">      Other General and Admin Expenses</t>
  </si>
  <si>
    <t xml:space="preserve">      Craigslist.org</t>
  </si>
  <si>
    <t>Friday, Jul 10, 2020 10:13:17 AM GMT-7 - Cash Basis</t>
  </si>
  <si>
    <t>As of June 30, 2020</t>
  </si>
  <si>
    <t xml:space="preserve">               Chase SW (7183)</t>
  </si>
  <si>
    <t xml:space="preserve">               Total Chase SW (7183)</t>
  </si>
  <si>
    <t xml:space="preserve">            GRANT TO UPDATE - 123</t>
  </si>
  <si>
    <t xml:space="preserve">            GRANT TO UPDATE abc</t>
  </si>
  <si>
    <t xml:space="preserve">            GRANT TO UPDATE xyz</t>
  </si>
  <si>
    <t xml:space="preserve">            Commercial Line of Credit- PPP Funds</t>
  </si>
  <si>
    <t xml:space="preserve">            Commercial Loan- Line of Credit (deleted)</t>
  </si>
  <si>
    <t>Friday, Jul 10, 2020 01:17:17 PM GMT-7 - Cash Basis</t>
  </si>
  <si>
    <t xml:space="preserve">      GRANT TO UPDATE - 123</t>
  </si>
  <si>
    <t xml:space="preserve">      GRANT TO UPDATE abc</t>
  </si>
  <si>
    <t xml:space="preserve">      GRANT TO UPDATE xyz</t>
  </si>
  <si>
    <t xml:space="preserve">      Commercial Line of Credit- PPP Funds</t>
  </si>
  <si>
    <t xml:space="preserve">      Commercial Loan- Line of Credit (deleted)</t>
  </si>
  <si>
    <t>Friday, Jul 10, 2020 01:17:50 PM GMT-7</t>
  </si>
  <si>
    <t>MoM Ad Spend Increase '20</t>
  </si>
  <si>
    <t>MoM Ad Spend Increase '21</t>
  </si>
  <si>
    <t>Average L3M</t>
  </si>
  <si>
    <t>2021 Run Rate Income (Churn vs. CAC)</t>
  </si>
  <si>
    <t>2021 Run Rate Net Income (Churn vs. CAC)</t>
  </si>
  <si>
    <t>2021 Run Rate Income (Churn vs. Shipments / Customer)</t>
  </si>
  <si>
    <t>2021 Ending Cash (MoM Ad Spend '21 vs. GP%)</t>
  </si>
  <si>
    <t>Dec'20 Run Rate</t>
  </si>
  <si>
    <t>Dec'21 Run Rate</t>
  </si>
  <si>
    <t>Forecast (incl up to Jun 2020 Actuals)</t>
  </si>
  <si>
    <t>Updated / added 26/07/2020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</si>
</sst>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64" formatCode="_-&quot;£&quot;* #,##0.00_-;\-&quot;£&quot;* #,##0.00_-;_-&quot;£&quot;* &quot;-&quot;??_-;_-@_-"/>
    <numFmt numFmtId="165" formatCode="_-* #,##0.00_-;\-* #,##0.00_-;_-* &quot;-&quot;??_-;_-@_-"/>
    <numFmt numFmtId="166" formatCode="#,##0.00\ _€"/>
    <numFmt numFmtId="167" formatCode="&quot;$&quot;* #,##0.00\ _€"/>
    <numFmt numFmtId="168" formatCode="_-* #,##0.0_-;\-* #,##0.0_-;_-* &quot;-&quot;??_-;_-@_-"/>
    <numFmt numFmtId="169" formatCode="_-* #,##0_-;\-* #,##0_-;_-* &quot;-&quot;??_-;_-@_-"/>
    <numFmt numFmtId="170" formatCode="_-[$$-409]* #,##0_ ;_-[$$-409]* \-#,##0\ ;_-[$$-409]* &quot;-&quot;??_ ;_-@_ "/>
    <numFmt numFmtId="171" formatCode="#,##0.00\ _€;\-0;;@"/>
    <numFmt numFmtId="172" formatCode="#,##0\ _€;\-0;;@"/>
    <numFmt numFmtId="173" formatCode="#,##0.00\ _€;\-0.00;;@"/>
    <numFmt numFmtId="174" formatCode="0.0%"/>
    <numFmt numFmtId="175" formatCode="0.0"/>
  </numFmts>
  <fonts count="4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4"/>
      <color indexed="8"/>
      <name val="Arial"/>
      <family val="2"/>
    </font>
    <font>
      <b/>
      <sz val="10"/>
      <color indexed="8"/>
      <name val="Arial"/>
      <family val="2"/>
    </font>
    <font>
      <b/>
      <sz val="9"/>
      <color indexed="8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sz val="9"/>
      <color theme="1"/>
      <name val="Garamond"/>
      <family val="1"/>
    </font>
    <font>
      <sz val="11"/>
      <color indexed="8"/>
      <name val="Arial"/>
      <family val="2"/>
    </font>
    <font>
      <sz val="8"/>
      <color theme="4"/>
      <name val="Arial"/>
      <family val="2"/>
    </font>
    <font>
      <b/>
      <sz val="9"/>
      <color theme="4"/>
      <name val="Arial"/>
      <family val="2"/>
    </font>
    <font>
      <i/>
      <sz val="8"/>
      <color indexed="8"/>
      <name val="Arial"/>
      <family val="2"/>
    </font>
    <font>
      <i/>
      <sz val="8"/>
      <color theme="4"/>
      <name val="Arial"/>
      <family val="2"/>
    </font>
    <font>
      <sz val="6"/>
      <color indexed="8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6"/>
      <color indexed="8"/>
      <name val="Arial"/>
      <family val="2"/>
    </font>
    <font>
      <sz val="11"/>
      <color theme="1"/>
      <name val="Arial"/>
      <family val="2"/>
    </font>
    <font>
      <b/>
      <sz val="8"/>
      <color theme="4"/>
      <name val="Arial"/>
      <family val="2"/>
    </font>
    <font>
      <sz val="8"/>
      <color theme="1"/>
      <name val="Arial"/>
      <family val="2"/>
    </font>
    <font>
      <b/>
      <sz val="8"/>
      <name val="Arial"/>
      <family val="2"/>
    </font>
    <font>
      <sz val="5"/>
      <color theme="6" tint="0.59999389629810485"/>
      <name val="Arial"/>
      <family val="2"/>
    </font>
    <font>
      <sz val="8"/>
      <color rgb="FF0070C0"/>
      <name val="Arial"/>
      <family val="2"/>
    </font>
    <font>
      <sz val="6"/>
      <color theme="2" tint="-0.499984740745262"/>
      <name val="Arial"/>
      <family val="2"/>
    </font>
    <font>
      <sz val="5"/>
      <color theme="2" tint="-0.249977111117893"/>
      <name val="Arial"/>
      <family val="2"/>
    </font>
    <font>
      <sz val="5"/>
      <color theme="9" tint="0.79998168889431442"/>
      <name val="Arial"/>
      <family val="2"/>
    </font>
    <font>
      <sz val="5"/>
      <color theme="4" tint="0.79998168889431442"/>
      <name val="Arial"/>
      <family val="2"/>
    </font>
    <font>
      <b/>
      <sz val="8"/>
      <color rgb="FF0070C0"/>
      <name val="Arial"/>
      <family val="2"/>
    </font>
    <font>
      <sz val="8"/>
      <color theme="0" tint="-4.9989318521683403E-2"/>
      <name val="Arial"/>
      <family val="2"/>
    </font>
    <font>
      <i/>
      <sz val="9"/>
      <color theme="1"/>
      <name val="Arial"/>
      <family val="2"/>
    </font>
    <font>
      <b/>
      <sz val="10"/>
      <color theme="1"/>
      <name val="Arial"/>
      <family val="2"/>
    </font>
    <font>
      <sz val="5"/>
      <color theme="9" tint="0.59999389629810485"/>
      <name val="Arial"/>
      <family val="2"/>
    </font>
    <font>
      <sz val="5"/>
      <color theme="4" tint="0.59999389629810485"/>
      <name val="Arial"/>
      <family val="2"/>
    </font>
    <font>
      <sz val="11"/>
      <color theme="1"/>
      <name val="Arial"/>
      <family val="2"/>
    </font>
    <font>
      <sz val="8"/>
      <name val="Arial"/>
      <family val="2"/>
    </font>
    <font>
      <i/>
      <sz val="8"/>
      <color indexed="8"/>
      <name val="Calibri"/>
      <family val="2"/>
      <scheme val="minor"/>
    </font>
    <font>
      <b/>
      <sz val="8"/>
      <color theme="1"/>
      <name val="Arial"/>
      <family val="2"/>
    </font>
    <font>
      <sz val="8"/>
      <color theme="0"/>
      <name val="Arial"/>
      <family val="2"/>
    </font>
    <font>
      <i/>
      <sz val="8"/>
      <color theme="1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lightDown">
        <fgColor theme="0" tint="-0.14996795556505021"/>
        <bgColor indexed="65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lightDown">
        <fgColor theme="0" tint="-0.14996795556505021"/>
        <bgColor theme="3" tint="0.79998168889431442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5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thin">
        <color auto="1"/>
      </top>
      <bottom style="thin">
        <color indexed="64"/>
      </bottom>
      <diagonal/>
    </border>
    <border>
      <left/>
      <right style="medium">
        <color indexed="64"/>
      </right>
      <top style="thin">
        <color auto="1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rgb="FFFF0000"/>
      </left>
      <right/>
      <top style="medium">
        <color rgb="FFFF0000"/>
      </top>
      <bottom style="thin">
        <color indexed="64"/>
      </bottom>
      <diagonal/>
    </border>
    <border>
      <left/>
      <right style="medium">
        <color rgb="FFFF0000"/>
      </right>
      <top style="medium">
        <color rgb="FFFF0000"/>
      </top>
      <bottom style="thin">
        <color indexed="64"/>
      </bottom>
      <diagonal/>
    </border>
    <border>
      <left style="medium">
        <color rgb="FFFF0000"/>
      </left>
      <right/>
      <top/>
      <bottom style="thin">
        <color auto="1"/>
      </bottom>
      <diagonal/>
    </border>
    <border>
      <left/>
      <right style="medium">
        <color rgb="FFFF0000"/>
      </right>
      <top/>
      <bottom style="thin">
        <color auto="1"/>
      </bottom>
      <diagonal/>
    </border>
    <border>
      <left style="medium">
        <color rgb="FFFF0000"/>
      </left>
      <right/>
      <top/>
      <bottom/>
      <diagonal/>
    </border>
    <border>
      <left/>
      <right style="medium">
        <color rgb="FFFF0000"/>
      </right>
      <top/>
      <bottom/>
      <diagonal/>
    </border>
    <border>
      <left style="medium">
        <color rgb="FFFF0000"/>
      </left>
      <right/>
      <top style="thin">
        <color auto="1"/>
      </top>
      <bottom style="thin">
        <color indexed="64"/>
      </bottom>
      <diagonal/>
    </border>
    <border>
      <left/>
      <right style="medium">
        <color rgb="FFFF0000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/>
      <top style="thin">
        <color auto="1"/>
      </top>
      <bottom/>
      <diagonal/>
    </border>
    <border>
      <left/>
      <right style="medium">
        <color rgb="FFFF0000"/>
      </right>
      <top style="thin">
        <color auto="1"/>
      </top>
      <bottom/>
      <diagonal/>
    </border>
    <border>
      <left style="medium">
        <color rgb="FFFF0000"/>
      </left>
      <right/>
      <top style="thin">
        <color indexed="64"/>
      </top>
      <bottom style="double">
        <color indexed="64"/>
      </bottom>
      <diagonal/>
    </border>
    <border>
      <left/>
      <right style="medium">
        <color rgb="FFFF0000"/>
      </right>
      <top style="thin">
        <color indexed="64"/>
      </top>
      <bottom style="double">
        <color indexed="64"/>
      </bottom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/>
      <right style="medium">
        <color rgb="FFFF0000"/>
      </right>
      <top/>
      <bottom style="medium">
        <color rgb="FFFF0000"/>
      </bottom>
      <diagonal/>
    </border>
    <border>
      <left style="medium">
        <color theme="3"/>
      </left>
      <right/>
      <top style="medium">
        <color theme="3"/>
      </top>
      <bottom/>
      <diagonal/>
    </border>
    <border>
      <left/>
      <right/>
      <top style="medium">
        <color theme="3"/>
      </top>
      <bottom/>
      <diagonal/>
    </border>
    <border>
      <left/>
      <right style="medium">
        <color theme="3"/>
      </right>
      <top style="medium">
        <color theme="3"/>
      </top>
      <bottom/>
      <diagonal/>
    </border>
    <border>
      <left style="medium">
        <color theme="3"/>
      </left>
      <right/>
      <top/>
      <bottom/>
      <diagonal/>
    </border>
    <border>
      <left/>
      <right style="medium">
        <color theme="3"/>
      </right>
      <top/>
      <bottom/>
      <diagonal/>
    </border>
    <border>
      <left style="medium">
        <color theme="3"/>
      </left>
      <right/>
      <top/>
      <bottom style="medium">
        <color theme="3"/>
      </bottom>
      <diagonal/>
    </border>
    <border>
      <left/>
      <right/>
      <top/>
      <bottom style="medium">
        <color theme="3"/>
      </bottom>
      <diagonal/>
    </border>
    <border>
      <left/>
      <right style="medium">
        <color theme="3"/>
      </right>
      <top/>
      <bottom style="medium">
        <color theme="3"/>
      </bottom>
      <diagonal/>
    </border>
    <border>
      <left/>
      <right style="thin">
        <color rgb="FFFF0000"/>
      </right>
      <top style="medium">
        <color indexed="64"/>
      </top>
      <bottom/>
      <diagonal/>
    </border>
    <border>
      <left/>
      <right style="thin">
        <color rgb="FFFF0000"/>
      </right>
      <top/>
      <bottom/>
      <diagonal/>
    </border>
    <border>
      <left/>
      <right style="thin">
        <color rgb="FFFF0000"/>
      </right>
      <top/>
      <bottom style="thin">
        <color auto="1"/>
      </bottom>
      <diagonal/>
    </border>
    <border>
      <left/>
      <right style="thin">
        <color rgb="FFFF0000"/>
      </right>
      <top style="thin">
        <color auto="1"/>
      </top>
      <bottom style="thin">
        <color indexed="64"/>
      </bottom>
      <diagonal/>
    </border>
    <border>
      <left/>
      <right style="thin">
        <color rgb="FFFF0000"/>
      </right>
      <top style="thin">
        <color auto="1"/>
      </top>
      <bottom/>
      <diagonal/>
    </border>
    <border>
      <left/>
      <right style="thin">
        <color rgb="FFFF0000"/>
      </right>
      <top/>
      <bottom style="medium">
        <color indexed="64"/>
      </bottom>
      <diagonal/>
    </border>
  </borders>
  <cellStyleXfs count="6">
    <xf numFmtId="0" fontId="0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34" fillId="0" borderId="0"/>
  </cellStyleXfs>
  <cellXfs count="425">
    <xf numFmtId="0" fontId="0" fillId="0" borderId="0" xfId="0"/>
    <xf numFmtId="0" fontId="0" fillId="3" borderId="0" xfId="0" applyFill="1"/>
    <xf numFmtId="0" fontId="2" fillId="2" borderId="0" xfId="4" applyFill="1"/>
    <xf numFmtId="0" fontId="2" fillId="2" borderId="0" xfId="4" applyFill="1" applyAlignment="1">
      <alignment wrapText="1"/>
    </xf>
    <xf numFmtId="0" fontId="5" fillId="2" borderId="1" xfId="4" applyFont="1" applyFill="1" applyBorder="1" applyAlignment="1">
      <alignment horizontal="center" wrapText="1"/>
    </xf>
    <xf numFmtId="0" fontId="6" fillId="2" borderId="0" xfId="4" applyFont="1" applyFill="1" applyAlignment="1">
      <alignment horizontal="left" wrapText="1"/>
    </xf>
    <xf numFmtId="166" fontId="7" fillId="2" borderId="0" xfId="4" applyNumberFormat="1" applyFont="1" applyFill="1" applyAlignment="1">
      <alignment wrapText="1"/>
    </xf>
    <xf numFmtId="166" fontId="7" fillId="2" borderId="0" xfId="4" applyNumberFormat="1" applyFont="1" applyFill="1" applyAlignment="1">
      <alignment horizontal="right" wrapText="1"/>
    </xf>
    <xf numFmtId="167" fontId="6" fillId="2" borderId="2" xfId="4" applyNumberFormat="1" applyFont="1" applyFill="1" applyBorder="1" applyAlignment="1">
      <alignment horizontal="right" wrapText="1"/>
    </xf>
    <xf numFmtId="0" fontId="3" fillId="2" borderId="0" xfId="4" applyFont="1" applyFill="1" applyAlignment="1"/>
    <xf numFmtId="0" fontId="2" fillId="2" borderId="0" xfId="4" applyFill="1" applyAlignment="1"/>
    <xf numFmtId="0" fontId="4" fillId="2" borderId="0" xfId="4" applyFont="1" applyFill="1" applyAlignment="1"/>
    <xf numFmtId="0" fontId="7" fillId="2" borderId="0" xfId="4" applyFont="1" applyFill="1" applyAlignment="1"/>
    <xf numFmtId="17" fontId="5" fillId="2" borderId="1" xfId="4" applyNumberFormat="1" applyFont="1" applyFill="1" applyBorder="1" applyAlignment="1">
      <alignment horizontal="center" wrapText="1"/>
    </xf>
    <xf numFmtId="169" fontId="6" fillId="2" borderId="2" xfId="1" applyNumberFormat="1" applyFont="1" applyFill="1" applyBorder="1" applyAlignment="1">
      <alignment horizontal="right" wrapText="1"/>
    </xf>
    <xf numFmtId="9" fontId="6" fillId="2" borderId="2" xfId="3" applyFont="1" applyFill="1" applyBorder="1" applyAlignment="1">
      <alignment horizontal="right" wrapText="1"/>
    </xf>
    <xf numFmtId="169" fontId="7" fillId="2" borderId="0" xfId="1" applyNumberFormat="1" applyFont="1" applyFill="1" applyAlignment="1">
      <alignment horizontal="right" wrapText="1"/>
    </xf>
    <xf numFmtId="169" fontId="6" fillId="2" borderId="0" xfId="1" applyNumberFormat="1" applyFont="1" applyFill="1" applyBorder="1" applyAlignment="1">
      <alignment horizontal="right" wrapText="1"/>
    </xf>
    <xf numFmtId="169" fontId="7" fillId="2" borderId="0" xfId="1" applyNumberFormat="1" applyFont="1" applyFill="1" applyAlignment="1">
      <alignment wrapText="1"/>
    </xf>
    <xf numFmtId="170" fontId="8" fillId="4" borderId="0" xfId="0" applyNumberFormat="1" applyFont="1" applyFill="1" applyBorder="1" applyAlignment="1">
      <alignment horizontal="right" vertical="center"/>
    </xf>
    <xf numFmtId="169" fontId="7" fillId="2" borderId="1" xfId="1" applyNumberFormat="1" applyFont="1" applyFill="1" applyBorder="1" applyAlignment="1">
      <alignment wrapText="1"/>
    </xf>
    <xf numFmtId="0" fontId="6" fillId="2" borderId="0" xfId="4" applyFont="1" applyFill="1" applyBorder="1" applyAlignment="1">
      <alignment horizontal="left" wrapText="1"/>
    </xf>
    <xf numFmtId="172" fontId="7" fillId="2" borderId="1" xfId="4" applyNumberFormat="1" applyFont="1" applyFill="1" applyBorder="1" applyAlignment="1">
      <alignment wrapText="1"/>
    </xf>
    <xf numFmtId="170" fontId="6" fillId="2" borderId="3" xfId="4" applyNumberFormat="1" applyFont="1" applyFill="1" applyBorder="1" applyAlignment="1">
      <alignment wrapText="1"/>
    </xf>
    <xf numFmtId="170" fontId="6" fillId="2" borderId="2" xfId="4" applyNumberFormat="1" applyFont="1" applyFill="1" applyBorder="1" applyAlignment="1">
      <alignment wrapText="1"/>
    </xf>
    <xf numFmtId="170" fontId="6" fillId="2" borderId="0" xfId="2" applyNumberFormat="1" applyFont="1" applyFill="1" applyBorder="1" applyAlignment="1">
      <alignment horizontal="left" wrapText="1"/>
    </xf>
    <xf numFmtId="170" fontId="6" fillId="2" borderId="0" xfId="4" applyNumberFormat="1" applyFont="1" applyFill="1" applyBorder="1" applyAlignment="1">
      <alignment horizontal="left" wrapText="1"/>
    </xf>
    <xf numFmtId="17" fontId="5" fillId="2" borderId="1" xfId="4" applyNumberFormat="1" applyFont="1" applyFill="1" applyBorder="1" applyAlignment="1">
      <alignment horizontal="center" vertical="center"/>
    </xf>
    <xf numFmtId="0" fontId="9" fillId="2" borderId="0" xfId="4" applyFont="1" applyFill="1" applyBorder="1" applyAlignment="1">
      <alignment wrapText="1"/>
    </xf>
    <xf numFmtId="0" fontId="6" fillId="2" borderId="0" xfId="4" applyFont="1" applyFill="1" applyBorder="1" applyAlignment="1">
      <alignment wrapText="1"/>
    </xf>
    <xf numFmtId="0" fontId="6" fillId="2" borderId="1" xfId="4" applyFont="1" applyFill="1" applyBorder="1" applyAlignment="1">
      <alignment wrapText="1"/>
    </xf>
    <xf numFmtId="165" fontId="11" fillId="2" borderId="1" xfId="1" applyFont="1" applyFill="1" applyBorder="1" applyAlignment="1">
      <alignment horizontal="center" wrapText="1"/>
    </xf>
    <xf numFmtId="168" fontId="11" fillId="2" borderId="1" xfId="1" applyNumberFormat="1" applyFont="1" applyFill="1" applyBorder="1" applyAlignment="1">
      <alignment horizontal="center" wrapText="1"/>
    </xf>
    <xf numFmtId="0" fontId="14" fillId="5" borderId="8" xfId="4" applyFont="1" applyFill="1" applyBorder="1" applyAlignment="1">
      <alignment horizontal="center" wrapText="1"/>
    </xf>
    <xf numFmtId="0" fontId="14" fillId="5" borderId="9" xfId="4" applyFont="1" applyFill="1" applyBorder="1" applyAlignment="1">
      <alignment horizontal="center" wrapText="1"/>
    </xf>
    <xf numFmtId="170" fontId="15" fillId="4" borderId="0" xfId="0" applyNumberFormat="1" applyFont="1" applyFill="1" applyBorder="1" applyAlignment="1">
      <alignment horizontal="right" vertical="center"/>
    </xf>
    <xf numFmtId="170" fontId="15" fillId="4" borderId="1" xfId="0" applyNumberFormat="1" applyFont="1" applyFill="1" applyBorder="1" applyAlignment="1">
      <alignment horizontal="right" vertical="center"/>
    </xf>
    <xf numFmtId="169" fontId="15" fillId="4" borderId="0" xfId="1" applyNumberFormat="1" applyFont="1" applyFill="1" applyBorder="1" applyAlignment="1">
      <alignment horizontal="right" vertical="center"/>
    </xf>
    <xf numFmtId="169" fontId="16" fillId="4" borderId="0" xfId="1" applyNumberFormat="1" applyFont="1" applyFill="1" applyBorder="1" applyAlignment="1">
      <alignment horizontal="right" vertical="center"/>
    </xf>
    <xf numFmtId="3" fontId="14" fillId="5" borderId="9" xfId="4" applyNumberFormat="1" applyFont="1" applyFill="1" applyBorder="1" applyAlignment="1">
      <alignment horizontal="center" wrapText="1"/>
    </xf>
    <xf numFmtId="0" fontId="17" fillId="5" borderId="10" xfId="4" applyFont="1" applyFill="1" applyBorder="1" applyAlignment="1">
      <alignment horizontal="center" wrapText="1"/>
    </xf>
    <xf numFmtId="0" fontId="17" fillId="5" borderId="11" xfId="4" applyFont="1" applyFill="1" applyBorder="1" applyAlignment="1">
      <alignment horizontal="center" wrapText="1"/>
    </xf>
    <xf numFmtId="170" fontId="16" fillId="4" borderId="1" xfId="0" applyNumberFormat="1" applyFont="1" applyFill="1" applyBorder="1" applyAlignment="1">
      <alignment horizontal="right" vertical="center"/>
    </xf>
    <xf numFmtId="169" fontId="16" fillId="4" borderId="1" xfId="1" applyNumberFormat="1" applyFont="1" applyFill="1" applyBorder="1" applyAlignment="1">
      <alignment horizontal="right" vertical="center"/>
    </xf>
    <xf numFmtId="0" fontId="9" fillId="2" borderId="0" xfId="4" applyFont="1" applyFill="1" applyBorder="1"/>
    <xf numFmtId="0" fontId="14" fillId="5" borderId="6" xfId="4" applyFont="1" applyFill="1" applyBorder="1" applyAlignment="1">
      <alignment horizontal="center" wrapText="1"/>
    </xf>
    <xf numFmtId="169" fontId="10" fillId="2" borderId="0" xfId="1" applyNumberFormat="1" applyFont="1" applyFill="1" applyBorder="1" applyAlignment="1">
      <alignment horizontal="center" vertical="center"/>
    </xf>
    <xf numFmtId="169" fontId="19" fillId="2" borderId="0" xfId="1" applyNumberFormat="1" applyFont="1" applyFill="1" applyBorder="1" applyAlignment="1">
      <alignment horizontal="center" vertical="center"/>
    </xf>
    <xf numFmtId="165" fontId="10" fillId="2" borderId="0" xfId="1" applyNumberFormat="1" applyFont="1" applyFill="1" applyBorder="1" applyAlignment="1">
      <alignment vertical="center"/>
    </xf>
    <xf numFmtId="169" fontId="10" fillId="2" borderId="0" xfId="1" applyNumberFormat="1" applyFont="1" applyFill="1" applyBorder="1" applyAlignment="1">
      <alignment vertical="center"/>
    </xf>
    <xf numFmtId="174" fontId="10" fillId="2" borderId="0" xfId="3" applyNumberFormat="1" applyFont="1" applyFill="1" applyBorder="1" applyAlignment="1">
      <alignment vertical="center"/>
    </xf>
    <xf numFmtId="169" fontId="19" fillId="2" borderId="1" xfId="1" applyNumberFormat="1" applyFont="1" applyFill="1" applyBorder="1" applyAlignment="1">
      <alignment horizontal="center" vertical="center"/>
    </xf>
    <xf numFmtId="169" fontId="10" fillId="2" borderId="1" xfId="1" applyNumberFormat="1" applyFont="1" applyFill="1" applyBorder="1" applyAlignment="1">
      <alignment horizontal="center" vertical="center"/>
    </xf>
    <xf numFmtId="9" fontId="19" fillId="2" borderId="0" xfId="3" applyFont="1" applyFill="1" applyBorder="1" applyAlignment="1">
      <alignment horizontal="right" vertical="center"/>
    </xf>
    <xf numFmtId="9" fontId="14" fillId="5" borderId="9" xfId="3" applyFont="1" applyFill="1" applyBorder="1" applyAlignment="1">
      <alignment horizontal="center" wrapText="1"/>
    </xf>
    <xf numFmtId="170" fontId="6" fillId="2" borderId="0" xfId="4" applyNumberFormat="1" applyFont="1" applyFill="1" applyBorder="1"/>
    <xf numFmtId="9" fontId="6" fillId="2" borderId="0" xfId="3" applyFont="1" applyFill="1" applyBorder="1"/>
    <xf numFmtId="170" fontId="14" fillId="5" borderId="9" xfId="4" applyNumberFormat="1" applyFont="1" applyFill="1" applyBorder="1" applyAlignment="1">
      <alignment horizontal="center" vertical="center" wrapText="1"/>
    </xf>
    <xf numFmtId="169" fontId="10" fillId="2" borderId="0" xfId="1" applyNumberFormat="1" applyFont="1" applyFill="1" applyBorder="1"/>
    <xf numFmtId="169" fontId="10" fillId="2" borderId="1" xfId="1" applyNumberFormat="1" applyFont="1" applyFill="1" applyBorder="1"/>
    <xf numFmtId="169" fontId="19" fillId="2" borderId="0" xfId="1" applyNumberFormat="1" applyFont="1" applyFill="1" applyBorder="1"/>
    <xf numFmtId="170" fontId="19" fillId="2" borderId="0" xfId="1" applyNumberFormat="1" applyFont="1" applyFill="1" applyBorder="1"/>
    <xf numFmtId="174" fontId="14" fillId="5" borderId="9" xfId="3" applyNumberFormat="1" applyFont="1" applyFill="1" applyBorder="1" applyAlignment="1">
      <alignment horizontal="center" wrapText="1"/>
    </xf>
    <xf numFmtId="10" fontId="14" fillId="5" borderId="9" xfId="3" applyNumberFormat="1" applyFont="1" applyFill="1" applyBorder="1" applyAlignment="1">
      <alignment horizontal="center" wrapText="1"/>
    </xf>
    <xf numFmtId="169" fontId="7" fillId="2" borderId="0" xfId="1" applyNumberFormat="1" applyFont="1" applyFill="1" applyBorder="1"/>
    <xf numFmtId="169" fontId="7" fillId="2" borderId="1" xfId="1" applyNumberFormat="1" applyFont="1" applyFill="1" applyBorder="1"/>
    <xf numFmtId="169" fontId="6" fillId="2" borderId="3" xfId="1" applyNumberFormat="1" applyFont="1" applyFill="1" applyBorder="1"/>
    <xf numFmtId="170" fontId="6" fillId="2" borderId="3" xfId="1" applyNumberFormat="1" applyFont="1" applyFill="1" applyBorder="1"/>
    <xf numFmtId="0" fontId="14" fillId="5" borderId="9" xfId="4" applyFont="1" applyFill="1" applyBorder="1"/>
    <xf numFmtId="0" fontId="6" fillId="7" borderId="0" xfId="4" applyFont="1" applyFill="1" applyBorder="1" applyAlignment="1">
      <alignment wrapText="1"/>
    </xf>
    <xf numFmtId="170" fontId="15" fillId="8" borderId="0" xfId="0" applyNumberFormat="1" applyFont="1" applyFill="1" applyBorder="1" applyAlignment="1">
      <alignment horizontal="right" vertical="center"/>
    </xf>
    <xf numFmtId="170" fontId="20" fillId="8" borderId="0" xfId="0" applyNumberFormat="1" applyFont="1" applyFill="1" applyBorder="1" applyAlignment="1">
      <alignment horizontal="right" vertical="center"/>
    </xf>
    <xf numFmtId="17" fontId="6" fillId="7" borderId="0" xfId="4" applyNumberFormat="1" applyFont="1" applyFill="1" applyBorder="1" applyAlignment="1">
      <alignment horizontal="center" vertical="center"/>
    </xf>
    <xf numFmtId="17" fontId="11" fillId="7" borderId="0" xfId="4" applyNumberFormat="1" applyFont="1" applyFill="1" applyBorder="1" applyAlignment="1">
      <alignment horizontal="center" wrapText="1"/>
    </xf>
    <xf numFmtId="165" fontId="10" fillId="8" borderId="0" xfId="1" applyFont="1" applyFill="1" applyBorder="1" applyAlignment="1">
      <alignment horizontal="right" vertical="center"/>
    </xf>
    <xf numFmtId="169" fontId="10" fillId="7" borderId="0" xfId="1" applyNumberFormat="1" applyFont="1" applyFill="1" applyBorder="1" applyAlignment="1">
      <alignment vertical="center"/>
    </xf>
    <xf numFmtId="0" fontId="6" fillId="7" borderId="0" xfId="4" applyFont="1" applyFill="1" applyBorder="1" applyAlignment="1">
      <alignment horizontal="left" wrapText="1"/>
    </xf>
    <xf numFmtId="0" fontId="7" fillId="7" borderId="0" xfId="4" applyFont="1" applyFill="1" applyBorder="1"/>
    <xf numFmtId="170" fontId="6" fillId="2" borderId="0" xfId="4" applyNumberFormat="1" applyFont="1" applyFill="1" applyBorder="1" applyAlignment="1">
      <alignment wrapText="1"/>
    </xf>
    <xf numFmtId="170" fontId="6" fillId="2" borderId="0" xfId="1" applyNumberFormat="1" applyFont="1" applyFill="1" applyBorder="1"/>
    <xf numFmtId="170" fontId="6" fillId="7" borderId="0" xfId="4" quotePrefix="1" applyNumberFormat="1" applyFont="1" applyFill="1" applyBorder="1" applyAlignment="1">
      <alignment horizontal="left" wrapText="1"/>
    </xf>
    <xf numFmtId="170" fontId="6" fillId="7" borderId="0" xfId="4" applyNumberFormat="1" applyFont="1" applyFill="1" applyBorder="1" applyAlignment="1">
      <alignment wrapText="1"/>
    </xf>
    <xf numFmtId="0" fontId="6" fillId="7" borderId="0" xfId="4" quotePrefix="1" applyFont="1" applyFill="1" applyBorder="1" applyAlignment="1">
      <alignment horizontal="left" wrapText="1"/>
    </xf>
    <xf numFmtId="0" fontId="6" fillId="9" borderId="0" xfId="4" quotePrefix="1" applyFont="1" applyFill="1" applyBorder="1" applyAlignment="1">
      <alignment horizontal="left" wrapText="1"/>
    </xf>
    <xf numFmtId="0" fontId="6" fillId="9" borderId="0" xfId="4" applyFont="1" applyFill="1" applyBorder="1" applyAlignment="1">
      <alignment horizontal="left" wrapText="1"/>
    </xf>
    <xf numFmtId="0" fontId="3" fillId="2" borderId="4" xfId="4" applyFont="1" applyFill="1" applyBorder="1" applyAlignment="1"/>
    <xf numFmtId="0" fontId="3" fillId="2" borderId="12" xfId="4" applyFont="1" applyFill="1" applyBorder="1" applyAlignment="1"/>
    <xf numFmtId="0" fontId="9" fillId="2" borderId="12" xfId="4" applyFont="1" applyFill="1" applyBorder="1" applyAlignment="1"/>
    <xf numFmtId="0" fontId="9" fillId="2" borderId="12" xfId="4" applyFont="1" applyFill="1" applyBorder="1"/>
    <xf numFmtId="0" fontId="9" fillId="2" borderId="5" xfId="4" applyFont="1" applyFill="1" applyBorder="1"/>
    <xf numFmtId="0" fontId="3" fillId="2" borderId="8" xfId="4" applyFont="1" applyFill="1" applyBorder="1" applyAlignment="1"/>
    <xf numFmtId="0" fontId="3" fillId="2" borderId="0" xfId="4" applyFont="1" applyFill="1" applyBorder="1" applyAlignment="1"/>
    <xf numFmtId="0" fontId="9" fillId="2" borderId="0" xfId="4" applyFont="1" applyFill="1" applyBorder="1" applyAlignment="1"/>
    <xf numFmtId="0" fontId="9" fillId="2" borderId="9" xfId="4" applyFont="1" applyFill="1" applyBorder="1"/>
    <xf numFmtId="0" fontId="4" fillId="2" borderId="8" xfId="4" applyFont="1" applyFill="1" applyBorder="1" applyAlignment="1"/>
    <xf numFmtId="0" fontId="4" fillId="2" borderId="0" xfId="4" applyFont="1" applyFill="1" applyBorder="1" applyAlignment="1"/>
    <xf numFmtId="0" fontId="12" fillId="2" borderId="0" xfId="4" applyFont="1" applyFill="1" applyBorder="1" applyAlignment="1">
      <alignment horizontal="center"/>
    </xf>
    <xf numFmtId="0" fontId="13" fillId="2" borderId="0" xfId="4" applyFont="1" applyFill="1" applyBorder="1" applyAlignment="1">
      <alignment horizontal="center"/>
    </xf>
    <xf numFmtId="0" fontId="13" fillId="2" borderId="9" xfId="4" applyFont="1" applyFill="1" applyBorder="1" applyAlignment="1">
      <alignment horizontal="center"/>
    </xf>
    <xf numFmtId="17" fontId="5" fillId="2" borderId="11" xfId="4" applyNumberFormat="1" applyFont="1" applyFill="1" applyBorder="1" applyAlignment="1">
      <alignment horizontal="center" vertical="center"/>
    </xf>
    <xf numFmtId="172" fontId="7" fillId="7" borderId="0" xfId="4" applyNumberFormat="1" applyFont="1" applyFill="1" applyBorder="1" applyAlignment="1">
      <alignment wrapText="1"/>
    </xf>
    <xf numFmtId="17" fontId="6" fillId="7" borderId="9" xfId="4" applyNumberFormat="1" applyFont="1" applyFill="1" applyBorder="1" applyAlignment="1">
      <alignment horizontal="center" vertical="center"/>
    </xf>
    <xf numFmtId="172" fontId="7" fillId="2" borderId="0" xfId="4" applyNumberFormat="1" applyFont="1" applyFill="1" applyBorder="1" applyAlignment="1">
      <alignment wrapText="1"/>
    </xf>
    <xf numFmtId="169" fontId="10" fillId="2" borderId="9" xfId="1" applyNumberFormat="1" applyFont="1" applyFill="1" applyBorder="1" applyAlignment="1">
      <alignment horizontal="center" vertical="center"/>
    </xf>
    <xf numFmtId="169" fontId="10" fillId="2" borderId="11" xfId="1" applyNumberFormat="1" applyFont="1" applyFill="1" applyBorder="1" applyAlignment="1">
      <alignment horizontal="center" vertical="center"/>
    </xf>
    <xf numFmtId="172" fontId="6" fillId="2" borderId="0" xfId="4" applyNumberFormat="1" applyFont="1" applyFill="1" applyBorder="1" applyAlignment="1">
      <alignment wrapText="1"/>
    </xf>
    <xf numFmtId="172" fontId="21" fillId="2" borderId="0" xfId="4" applyNumberFormat="1" applyFont="1" applyFill="1" applyBorder="1" applyAlignment="1">
      <alignment wrapText="1"/>
    </xf>
    <xf numFmtId="169" fontId="19" fillId="2" borderId="9" xfId="1" applyNumberFormat="1" applyFont="1" applyFill="1" applyBorder="1" applyAlignment="1">
      <alignment horizontal="center" vertical="center"/>
    </xf>
    <xf numFmtId="9" fontId="6" fillId="2" borderId="0" xfId="3" applyFont="1" applyFill="1" applyBorder="1" applyAlignment="1">
      <alignment wrapText="1"/>
    </xf>
    <xf numFmtId="9" fontId="19" fillId="2" borderId="9" xfId="3" applyFont="1" applyFill="1" applyBorder="1" applyAlignment="1">
      <alignment horizontal="right" vertical="center"/>
    </xf>
    <xf numFmtId="172" fontId="10" fillId="7" borderId="0" xfId="4" applyNumberFormat="1" applyFont="1" applyFill="1" applyBorder="1" applyAlignment="1">
      <alignment wrapText="1"/>
    </xf>
    <xf numFmtId="173" fontId="10" fillId="2" borderId="0" xfId="4" applyNumberFormat="1" applyFont="1" applyFill="1" applyBorder="1" applyAlignment="1">
      <alignment wrapText="1"/>
    </xf>
    <xf numFmtId="165" fontId="10" fillId="2" borderId="9" xfId="1" applyNumberFormat="1" applyFont="1" applyFill="1" applyBorder="1" applyAlignment="1">
      <alignment vertical="center"/>
    </xf>
    <xf numFmtId="172" fontId="10" fillId="2" borderId="0" xfId="4" applyNumberFormat="1" applyFont="1" applyFill="1" applyBorder="1" applyAlignment="1">
      <alignment wrapText="1"/>
    </xf>
    <xf numFmtId="169" fontId="10" fillId="2" borderId="9" xfId="1" applyNumberFormat="1" applyFont="1" applyFill="1" applyBorder="1" applyAlignment="1">
      <alignment vertical="center"/>
    </xf>
    <xf numFmtId="174" fontId="10" fillId="2" borderId="0" xfId="3" applyNumberFormat="1" applyFont="1" applyFill="1" applyBorder="1" applyAlignment="1">
      <alignment wrapText="1"/>
    </xf>
    <xf numFmtId="174" fontId="10" fillId="2" borderId="9" xfId="3" applyNumberFormat="1" applyFont="1" applyFill="1" applyBorder="1" applyAlignment="1">
      <alignment vertical="center"/>
    </xf>
    <xf numFmtId="169" fontId="10" fillId="7" borderId="9" xfId="1" applyNumberFormat="1" applyFont="1" applyFill="1" applyBorder="1" applyAlignment="1">
      <alignment vertical="center"/>
    </xf>
    <xf numFmtId="169" fontId="19" fillId="2" borderId="11" xfId="1" applyNumberFormat="1" applyFont="1" applyFill="1" applyBorder="1" applyAlignment="1">
      <alignment horizontal="center" vertical="center"/>
    </xf>
    <xf numFmtId="171" fontId="7" fillId="7" borderId="0" xfId="4" applyNumberFormat="1" applyFont="1" applyFill="1" applyBorder="1" applyAlignment="1">
      <alignment wrapText="1"/>
    </xf>
    <xf numFmtId="0" fontId="7" fillId="7" borderId="9" xfId="4" applyFont="1" applyFill="1" applyBorder="1"/>
    <xf numFmtId="169" fontId="10" fillId="2" borderId="9" xfId="1" applyNumberFormat="1" applyFont="1" applyFill="1" applyBorder="1"/>
    <xf numFmtId="169" fontId="10" fillId="2" borderId="11" xfId="1" applyNumberFormat="1" applyFont="1" applyFill="1" applyBorder="1"/>
    <xf numFmtId="170" fontId="6" fillId="2" borderId="0" xfId="2" applyNumberFormat="1" applyFont="1" applyFill="1" applyBorder="1" applyAlignment="1">
      <alignment wrapText="1"/>
    </xf>
    <xf numFmtId="169" fontId="7" fillId="2" borderId="9" xfId="1" applyNumberFormat="1" applyFont="1" applyFill="1" applyBorder="1"/>
    <xf numFmtId="169" fontId="7" fillId="2" borderId="11" xfId="1" applyNumberFormat="1" applyFont="1" applyFill="1" applyBorder="1"/>
    <xf numFmtId="170" fontId="6" fillId="2" borderId="9" xfId="4" applyNumberFormat="1" applyFont="1" applyFill="1" applyBorder="1"/>
    <xf numFmtId="9" fontId="6" fillId="2" borderId="9" xfId="3" applyFont="1" applyFill="1" applyBorder="1"/>
    <xf numFmtId="172" fontId="7" fillId="9" borderId="0" xfId="4" applyNumberFormat="1" applyFont="1" applyFill="1" applyBorder="1" applyAlignment="1">
      <alignment wrapText="1"/>
    </xf>
    <xf numFmtId="0" fontId="18" fillId="2" borderId="0" xfId="0" applyFont="1" applyFill="1" applyBorder="1"/>
    <xf numFmtId="0" fontId="18" fillId="2" borderId="15" xfId="0" applyFont="1" applyFill="1" applyBorder="1"/>
    <xf numFmtId="0" fontId="9" fillId="2" borderId="15" xfId="4" applyFont="1" applyFill="1" applyBorder="1"/>
    <xf numFmtId="0" fontId="0" fillId="6" borderId="0" xfId="0" applyFill="1"/>
    <xf numFmtId="0" fontId="9" fillId="6" borderId="0" xfId="4" applyFont="1" applyFill="1" applyBorder="1"/>
    <xf numFmtId="0" fontId="7" fillId="6" borderId="0" xfId="4" applyFont="1" applyFill="1" applyBorder="1"/>
    <xf numFmtId="0" fontId="6" fillId="6" borderId="0" xfId="4" applyFont="1" applyFill="1" applyBorder="1"/>
    <xf numFmtId="0" fontId="10" fillId="6" borderId="0" xfId="4" applyFont="1" applyFill="1" applyBorder="1"/>
    <xf numFmtId="170" fontId="6" fillId="6" borderId="0" xfId="2" applyNumberFormat="1" applyFont="1" applyFill="1" applyBorder="1"/>
    <xf numFmtId="169" fontId="7" fillId="6" borderId="0" xfId="1" applyNumberFormat="1" applyFont="1" applyFill="1" applyBorder="1"/>
    <xf numFmtId="170" fontId="6" fillId="6" borderId="0" xfId="4" applyNumberFormat="1" applyFont="1" applyFill="1" applyBorder="1"/>
    <xf numFmtId="0" fontId="17" fillId="5" borderId="9" xfId="4" applyFont="1" applyFill="1" applyBorder="1"/>
    <xf numFmtId="170" fontId="7" fillId="2" borderId="0" xfId="4" applyNumberFormat="1" applyFont="1" applyFill="1" applyBorder="1"/>
    <xf numFmtId="170" fontId="7" fillId="2" borderId="2" xfId="4" applyNumberFormat="1" applyFont="1" applyFill="1" applyBorder="1" applyAlignment="1">
      <alignment wrapText="1"/>
    </xf>
    <xf numFmtId="170" fontId="10" fillId="2" borderId="0" xfId="4" applyNumberFormat="1" applyFont="1" applyFill="1" applyBorder="1" applyAlignment="1">
      <alignment wrapText="1"/>
    </xf>
    <xf numFmtId="0" fontId="22" fillId="2" borderId="0" xfId="4" applyFont="1" applyFill="1" applyBorder="1"/>
    <xf numFmtId="9" fontId="17" fillId="5" borderId="9" xfId="3" applyFont="1" applyFill="1" applyBorder="1"/>
    <xf numFmtId="170" fontId="14" fillId="5" borderId="9" xfId="4" applyNumberFormat="1" applyFont="1" applyFill="1" applyBorder="1" applyAlignment="1">
      <alignment horizontal="center"/>
    </xf>
    <xf numFmtId="169" fontId="19" fillId="2" borderId="9" xfId="1" applyNumberFormat="1" applyFont="1" applyFill="1" applyBorder="1"/>
    <xf numFmtId="169" fontId="7" fillId="7" borderId="0" xfId="1" applyNumberFormat="1" applyFont="1" applyFill="1" applyBorder="1"/>
    <xf numFmtId="169" fontId="7" fillId="7" borderId="9" xfId="1" applyNumberFormat="1" applyFont="1" applyFill="1" applyBorder="1"/>
    <xf numFmtId="169" fontId="6" fillId="2" borderId="13" xfId="1" applyNumberFormat="1" applyFont="1" applyFill="1" applyBorder="1"/>
    <xf numFmtId="169" fontId="6" fillId="7" borderId="0" xfId="1" applyNumberFormat="1" applyFont="1" applyFill="1" applyBorder="1"/>
    <xf numFmtId="169" fontId="6" fillId="7" borderId="9" xfId="1" applyNumberFormat="1" applyFont="1" applyFill="1" applyBorder="1"/>
    <xf numFmtId="169" fontId="6" fillId="2" borderId="0" xfId="1" applyNumberFormat="1" applyFont="1" applyFill="1" applyBorder="1"/>
    <xf numFmtId="169" fontId="6" fillId="2" borderId="9" xfId="1" applyNumberFormat="1" applyFont="1" applyFill="1" applyBorder="1"/>
    <xf numFmtId="169" fontId="6" fillId="2" borderId="2" xfId="1" applyNumberFormat="1" applyFont="1" applyFill="1" applyBorder="1"/>
    <xf numFmtId="169" fontId="6" fillId="2" borderId="14" xfId="1" applyNumberFormat="1" applyFont="1" applyFill="1" applyBorder="1"/>
    <xf numFmtId="169" fontId="7" fillId="9" borderId="0" xfId="1" applyNumberFormat="1" applyFont="1" applyFill="1" applyBorder="1"/>
    <xf numFmtId="169" fontId="7" fillId="9" borderId="9" xfId="1" applyNumberFormat="1" applyFont="1" applyFill="1" applyBorder="1"/>
    <xf numFmtId="169" fontId="7" fillId="2" borderId="2" xfId="1" applyNumberFormat="1" applyFont="1" applyFill="1" applyBorder="1"/>
    <xf numFmtId="169" fontId="7" fillId="2" borderId="14" xfId="1" applyNumberFormat="1" applyFont="1" applyFill="1" applyBorder="1"/>
    <xf numFmtId="169" fontId="23" fillId="2" borderId="0" xfId="1" applyNumberFormat="1" applyFont="1" applyFill="1" applyBorder="1"/>
    <xf numFmtId="169" fontId="23" fillId="2" borderId="9" xfId="1" applyNumberFormat="1" applyFont="1" applyFill="1" applyBorder="1"/>
    <xf numFmtId="169" fontId="7" fillId="2" borderId="15" xfId="1" applyNumberFormat="1" applyFont="1" applyFill="1" applyBorder="1"/>
    <xf numFmtId="169" fontId="7" fillId="2" borderId="7" xfId="1" applyNumberFormat="1" applyFont="1" applyFill="1" applyBorder="1"/>
    <xf numFmtId="0" fontId="14" fillId="5" borderId="8" xfId="4" applyFont="1" applyFill="1" applyBorder="1"/>
    <xf numFmtId="170" fontId="17" fillId="5" borderId="9" xfId="4" applyNumberFormat="1" applyFont="1" applyFill="1" applyBorder="1"/>
    <xf numFmtId="10" fontId="14" fillId="5" borderId="9" xfId="3" applyNumberFormat="1" applyFont="1" applyFill="1" applyBorder="1"/>
    <xf numFmtId="10" fontId="14" fillId="5" borderId="9" xfId="4" applyNumberFormat="1" applyFont="1" applyFill="1" applyBorder="1"/>
    <xf numFmtId="10" fontId="17" fillId="5" borderId="9" xfId="3" applyNumberFormat="1" applyFont="1" applyFill="1" applyBorder="1"/>
    <xf numFmtId="174" fontId="17" fillId="5" borderId="9" xfId="3" applyNumberFormat="1" applyFont="1" applyFill="1" applyBorder="1"/>
    <xf numFmtId="9" fontId="14" fillId="5" borderId="9" xfId="3" applyFont="1" applyFill="1" applyBorder="1" applyAlignment="1">
      <alignment horizontal="center"/>
    </xf>
    <xf numFmtId="0" fontId="17" fillId="5" borderId="7" xfId="4" applyFont="1" applyFill="1" applyBorder="1"/>
    <xf numFmtId="0" fontId="24" fillId="5" borderId="8" xfId="4" applyFont="1" applyFill="1" applyBorder="1" applyAlignment="1">
      <alignment horizontal="center" wrapText="1"/>
    </xf>
    <xf numFmtId="0" fontId="24" fillId="5" borderId="9" xfId="4" applyFont="1" applyFill="1" applyBorder="1"/>
    <xf numFmtId="170" fontId="6" fillId="2" borderId="9" xfId="1" applyNumberFormat="1" applyFont="1" applyFill="1" applyBorder="1"/>
    <xf numFmtId="172" fontId="26" fillId="9" borderId="0" xfId="4" applyNumberFormat="1" applyFont="1" applyFill="1" applyBorder="1" applyAlignment="1">
      <alignment wrapText="1"/>
    </xf>
    <xf numFmtId="171" fontId="26" fillId="9" borderId="0" xfId="4" applyNumberFormat="1" applyFont="1" applyFill="1" applyBorder="1" applyAlignment="1">
      <alignment wrapText="1"/>
    </xf>
    <xf numFmtId="0" fontId="26" fillId="9" borderId="0" xfId="4" applyFont="1" applyFill="1" applyBorder="1"/>
    <xf numFmtId="0" fontId="26" fillId="9" borderId="9" xfId="4" applyFont="1" applyFill="1" applyBorder="1"/>
    <xf numFmtId="172" fontId="27" fillId="7" borderId="0" xfId="4" applyNumberFormat="1" applyFont="1" applyFill="1" applyBorder="1" applyAlignment="1">
      <alignment wrapText="1"/>
    </xf>
    <xf numFmtId="171" fontId="27" fillId="7" borderId="0" xfId="4" applyNumberFormat="1" applyFont="1" applyFill="1" applyBorder="1" applyAlignment="1">
      <alignment wrapText="1"/>
    </xf>
    <xf numFmtId="0" fontId="27" fillId="7" borderId="0" xfId="4" applyFont="1" applyFill="1" applyBorder="1"/>
    <xf numFmtId="0" fontId="27" fillId="7" borderId="9" xfId="4" applyFont="1" applyFill="1" applyBorder="1"/>
    <xf numFmtId="170" fontId="7" fillId="2" borderId="12" xfId="4" applyNumberFormat="1" applyFont="1" applyFill="1" applyBorder="1" applyAlignment="1"/>
    <xf numFmtId="170" fontId="9" fillId="2" borderId="0" xfId="4" applyNumberFormat="1" applyFont="1" applyFill="1" applyBorder="1" applyAlignment="1"/>
    <xf numFmtId="170" fontId="25" fillId="9" borderId="0" xfId="4" applyNumberFormat="1" applyFont="1" applyFill="1" applyBorder="1" applyAlignment="1">
      <alignment wrapText="1"/>
    </xf>
    <xf numFmtId="170" fontId="25" fillId="9" borderId="0" xfId="4" applyNumberFormat="1" applyFont="1" applyFill="1" applyBorder="1"/>
    <xf numFmtId="170" fontId="25" fillId="9" borderId="9" xfId="4" applyNumberFormat="1" applyFont="1" applyFill="1" applyBorder="1"/>
    <xf numFmtId="170" fontId="7" fillId="2" borderId="0" xfId="1" applyNumberFormat="1" applyFont="1" applyFill="1" applyBorder="1"/>
    <xf numFmtId="170" fontId="7" fillId="2" borderId="9" xfId="1" applyNumberFormat="1" applyFont="1" applyFill="1" applyBorder="1"/>
    <xf numFmtId="170" fontId="6" fillId="2" borderId="13" xfId="1" applyNumberFormat="1" applyFont="1" applyFill="1" applyBorder="1"/>
    <xf numFmtId="170" fontId="25" fillId="7" borderId="0" xfId="4" applyNumberFormat="1" applyFont="1" applyFill="1" applyBorder="1" applyAlignment="1">
      <alignment wrapText="1"/>
    </xf>
    <xf numFmtId="170" fontId="25" fillId="7" borderId="0" xfId="4" applyNumberFormat="1" applyFont="1" applyFill="1" applyBorder="1"/>
    <xf numFmtId="170" fontId="25" fillId="7" borderId="9" xfId="4" applyNumberFormat="1" applyFont="1" applyFill="1" applyBorder="1"/>
    <xf numFmtId="170" fontId="6" fillId="2" borderId="2" xfId="1" applyNumberFormat="1" applyFont="1" applyFill="1" applyBorder="1"/>
    <xf numFmtId="170" fontId="6" fillId="2" borderId="14" xfId="1" applyNumberFormat="1" applyFont="1" applyFill="1" applyBorder="1"/>
    <xf numFmtId="170" fontId="7" fillId="2" borderId="2" xfId="1" applyNumberFormat="1" applyFont="1" applyFill="1" applyBorder="1"/>
    <xf numFmtId="170" fontId="7" fillId="2" borderId="14" xfId="1" applyNumberFormat="1" applyFont="1" applyFill="1" applyBorder="1"/>
    <xf numFmtId="170" fontId="9" fillId="2" borderId="0" xfId="4" applyNumberFormat="1" applyFont="1" applyFill="1" applyBorder="1"/>
    <xf numFmtId="170" fontId="7" fillId="9" borderId="0" xfId="4" applyNumberFormat="1" applyFont="1" applyFill="1" applyBorder="1" applyAlignment="1">
      <alignment wrapText="1"/>
    </xf>
    <xf numFmtId="170" fontId="7" fillId="9" borderId="0" xfId="1" applyNumberFormat="1" applyFont="1" applyFill="1" applyBorder="1"/>
    <xf numFmtId="170" fontId="7" fillId="9" borderId="9" xfId="1" applyNumberFormat="1" applyFont="1" applyFill="1" applyBorder="1"/>
    <xf numFmtId="170" fontId="23" fillId="2" borderId="0" xfId="1" applyNumberFormat="1" applyFont="1" applyFill="1" applyBorder="1"/>
    <xf numFmtId="170" fontId="23" fillId="2" borderId="9" xfId="1" applyNumberFormat="1" applyFont="1" applyFill="1" applyBorder="1"/>
    <xf numFmtId="170" fontId="22" fillId="2" borderId="0" xfId="4" applyNumberFormat="1" applyFont="1" applyFill="1" applyBorder="1"/>
    <xf numFmtId="169" fontId="7" fillId="2" borderId="0" xfId="1" applyNumberFormat="1" applyFont="1" applyFill="1" applyBorder="1" applyAlignment="1">
      <alignment wrapText="1"/>
    </xf>
    <xf numFmtId="170" fontId="19" fillId="2" borderId="9" xfId="1" applyNumberFormat="1" applyFont="1" applyFill="1" applyBorder="1"/>
    <xf numFmtId="9" fontId="12" fillId="2" borderId="0" xfId="3" applyFont="1" applyFill="1" applyBorder="1" applyAlignment="1">
      <alignment wrapText="1"/>
    </xf>
    <xf numFmtId="9" fontId="12" fillId="2" borderId="0" xfId="3" applyFont="1" applyFill="1" applyBorder="1"/>
    <xf numFmtId="9" fontId="12" fillId="2" borderId="9" xfId="3" applyFont="1" applyFill="1" applyBorder="1"/>
    <xf numFmtId="170" fontId="28" fillId="2" borderId="0" xfId="1" applyNumberFormat="1" applyFont="1" applyFill="1" applyBorder="1"/>
    <xf numFmtId="170" fontId="28" fillId="2" borderId="9" xfId="1" applyNumberFormat="1" applyFont="1" applyFill="1" applyBorder="1"/>
    <xf numFmtId="0" fontId="29" fillId="2" borderId="0" xfId="4" applyFont="1" applyFill="1" applyBorder="1" applyAlignment="1"/>
    <xf numFmtId="0" fontId="29" fillId="2" borderId="0" xfId="4" applyFont="1" applyFill="1" applyBorder="1"/>
    <xf numFmtId="0" fontId="29" fillId="2" borderId="9" xfId="4" applyFont="1" applyFill="1" applyBorder="1"/>
    <xf numFmtId="0" fontId="18" fillId="2" borderId="1" xfId="0" applyFont="1" applyFill="1" applyBorder="1"/>
    <xf numFmtId="169" fontId="18" fillId="2" borderId="1" xfId="1" applyNumberFormat="1" applyFont="1" applyFill="1" applyBorder="1"/>
    <xf numFmtId="0" fontId="5" fillId="2" borderId="1" xfId="4" applyNumberFormat="1" applyFont="1" applyFill="1" applyBorder="1" applyAlignment="1">
      <alignment horizontal="center" wrapText="1"/>
    </xf>
    <xf numFmtId="0" fontId="18" fillId="2" borderId="16" xfId="0" applyFont="1" applyFill="1" applyBorder="1"/>
    <xf numFmtId="0" fontId="6" fillId="9" borderId="18" xfId="4" applyFont="1" applyFill="1" applyBorder="1" applyAlignment="1">
      <alignment horizontal="left" wrapText="1"/>
    </xf>
    <xf numFmtId="0" fontId="6" fillId="2" borderId="18" xfId="4" applyFont="1" applyFill="1" applyBorder="1" applyAlignment="1">
      <alignment horizontal="left" wrapText="1"/>
    </xf>
    <xf numFmtId="170" fontId="6" fillId="2" borderId="18" xfId="2" applyNumberFormat="1" applyFont="1" applyFill="1" applyBorder="1" applyAlignment="1">
      <alignment horizontal="left" wrapText="1"/>
    </xf>
    <xf numFmtId="0" fontId="6" fillId="7" borderId="18" xfId="4" applyFont="1" applyFill="1" applyBorder="1" applyAlignment="1">
      <alignment horizontal="left" wrapText="1"/>
    </xf>
    <xf numFmtId="170" fontId="6" fillId="2" borderId="18" xfId="4" applyNumberFormat="1" applyFont="1" applyFill="1" applyBorder="1" applyAlignment="1">
      <alignment horizontal="left" wrapText="1"/>
    </xf>
    <xf numFmtId="0" fontId="18" fillId="2" borderId="18" xfId="0" applyFont="1" applyFill="1" applyBorder="1"/>
    <xf numFmtId="0" fontId="6" fillId="2" borderId="19" xfId="4" applyFont="1" applyFill="1" applyBorder="1" applyAlignment="1">
      <alignment horizontal="left" wrapText="1"/>
    </xf>
    <xf numFmtId="170" fontId="7" fillId="2" borderId="1" xfId="4" applyNumberFormat="1" applyFont="1" applyFill="1" applyBorder="1"/>
    <xf numFmtId="0" fontId="9" fillId="2" borderId="19" xfId="4" applyFont="1" applyFill="1" applyBorder="1" applyAlignment="1">
      <alignment wrapText="1"/>
    </xf>
    <xf numFmtId="0" fontId="6" fillId="7" borderId="19" xfId="4" applyFont="1" applyFill="1" applyBorder="1" applyAlignment="1">
      <alignment horizontal="left" wrapText="1"/>
    </xf>
    <xf numFmtId="170" fontId="6" fillId="2" borderId="17" xfId="4" applyNumberFormat="1" applyFont="1" applyFill="1" applyBorder="1" applyAlignment="1">
      <alignment horizontal="left" wrapText="1"/>
    </xf>
    <xf numFmtId="0" fontId="6" fillId="2" borderId="17" xfId="4" applyFont="1" applyFill="1" applyBorder="1" applyAlignment="1">
      <alignment horizontal="left" wrapText="1"/>
    </xf>
    <xf numFmtId="0" fontId="6" fillId="9" borderId="19" xfId="4" quotePrefix="1" applyFont="1" applyFill="1" applyBorder="1" applyAlignment="1">
      <alignment horizontal="left" wrapText="1"/>
    </xf>
    <xf numFmtId="170" fontId="7" fillId="9" borderId="1" xfId="4" applyNumberFormat="1" applyFont="1" applyFill="1" applyBorder="1" applyAlignment="1">
      <alignment wrapText="1"/>
    </xf>
    <xf numFmtId="0" fontId="5" fillId="2" borderId="24" xfId="4" applyNumberFormat="1" applyFont="1" applyFill="1" applyBorder="1" applyAlignment="1">
      <alignment horizontal="center" wrapText="1"/>
    </xf>
    <xf numFmtId="0" fontId="5" fillId="2" borderId="25" xfId="4" applyNumberFormat="1" applyFont="1" applyFill="1" applyBorder="1" applyAlignment="1">
      <alignment horizontal="center" wrapText="1"/>
    </xf>
    <xf numFmtId="169" fontId="7" fillId="2" borderId="26" xfId="1" applyNumberFormat="1" applyFont="1" applyFill="1" applyBorder="1" applyAlignment="1">
      <alignment wrapText="1"/>
    </xf>
    <xf numFmtId="169" fontId="7" fillId="2" borderId="27" xfId="1" applyNumberFormat="1" applyFont="1" applyFill="1" applyBorder="1" applyAlignment="1">
      <alignment wrapText="1"/>
    </xf>
    <xf numFmtId="169" fontId="7" fillId="2" borderId="24" xfId="1" applyNumberFormat="1" applyFont="1" applyFill="1" applyBorder="1" applyAlignment="1">
      <alignment wrapText="1"/>
    </xf>
    <xf numFmtId="169" fontId="7" fillId="2" borderId="25" xfId="1" applyNumberFormat="1" applyFont="1" applyFill="1" applyBorder="1" applyAlignment="1">
      <alignment wrapText="1"/>
    </xf>
    <xf numFmtId="170" fontId="6" fillId="2" borderId="26" xfId="2" applyNumberFormat="1" applyFont="1" applyFill="1" applyBorder="1" applyAlignment="1">
      <alignment wrapText="1"/>
    </xf>
    <xf numFmtId="170" fontId="6" fillId="2" borderId="27" xfId="2" applyNumberFormat="1" applyFont="1" applyFill="1" applyBorder="1" applyAlignment="1">
      <alignment wrapText="1"/>
    </xf>
    <xf numFmtId="170" fontId="6" fillId="2" borderId="28" xfId="4" applyNumberFormat="1" applyFont="1" applyFill="1" applyBorder="1" applyAlignment="1">
      <alignment wrapText="1"/>
    </xf>
    <xf numFmtId="170" fontId="6" fillId="2" borderId="29" xfId="4" applyNumberFormat="1" applyFont="1" applyFill="1" applyBorder="1" applyAlignment="1">
      <alignment wrapText="1"/>
    </xf>
    <xf numFmtId="170" fontId="6" fillId="2" borderId="26" xfId="4" applyNumberFormat="1" applyFont="1" applyFill="1" applyBorder="1" applyAlignment="1">
      <alignment wrapText="1"/>
    </xf>
    <xf numFmtId="170" fontId="6" fillId="2" borderId="27" xfId="4" applyNumberFormat="1" applyFont="1" applyFill="1" applyBorder="1" applyAlignment="1">
      <alignment wrapText="1"/>
    </xf>
    <xf numFmtId="9" fontId="12" fillId="2" borderId="26" xfId="3" applyFont="1" applyFill="1" applyBorder="1" applyAlignment="1">
      <alignment wrapText="1"/>
    </xf>
    <xf numFmtId="9" fontId="12" fillId="2" borderId="27" xfId="3" applyFont="1" applyFill="1" applyBorder="1" applyAlignment="1">
      <alignment wrapText="1"/>
    </xf>
    <xf numFmtId="170" fontId="25" fillId="7" borderId="26" xfId="4" applyNumberFormat="1" applyFont="1" applyFill="1" applyBorder="1" applyAlignment="1">
      <alignment wrapText="1"/>
    </xf>
    <xf numFmtId="170" fontId="25" fillId="7" borderId="27" xfId="4" applyNumberFormat="1" applyFont="1" applyFill="1" applyBorder="1" applyAlignment="1">
      <alignment wrapText="1"/>
    </xf>
    <xf numFmtId="170" fontId="6" fillId="2" borderId="30" xfId="4" applyNumberFormat="1" applyFont="1" applyFill="1" applyBorder="1" applyAlignment="1">
      <alignment wrapText="1"/>
    </xf>
    <xf numFmtId="170" fontId="6" fillId="2" borderId="31" xfId="4" applyNumberFormat="1" applyFont="1" applyFill="1" applyBorder="1" applyAlignment="1">
      <alignment wrapText="1"/>
    </xf>
    <xf numFmtId="170" fontId="7" fillId="2" borderId="30" xfId="4" applyNumberFormat="1" applyFont="1" applyFill="1" applyBorder="1" applyAlignment="1">
      <alignment wrapText="1"/>
    </xf>
    <xf numFmtId="170" fontId="7" fillId="2" borderId="31" xfId="4" applyNumberFormat="1" applyFont="1" applyFill="1" applyBorder="1" applyAlignment="1">
      <alignment wrapText="1"/>
    </xf>
    <xf numFmtId="170" fontId="9" fillId="2" borderId="26" xfId="4" applyNumberFormat="1" applyFont="1" applyFill="1" applyBorder="1"/>
    <xf numFmtId="170" fontId="9" fillId="2" borderId="27" xfId="4" applyNumberFormat="1" applyFont="1" applyFill="1" applyBorder="1"/>
    <xf numFmtId="170" fontId="6" fillId="2" borderId="26" xfId="4" applyNumberFormat="1" applyFont="1" applyFill="1" applyBorder="1"/>
    <xf numFmtId="170" fontId="6" fillId="2" borderId="27" xfId="4" applyNumberFormat="1" applyFont="1" applyFill="1" applyBorder="1"/>
    <xf numFmtId="170" fontId="7" fillId="9" borderId="24" xfId="4" applyNumberFormat="1" applyFont="1" applyFill="1" applyBorder="1" applyAlignment="1">
      <alignment wrapText="1"/>
    </xf>
    <xf numFmtId="170" fontId="7" fillId="9" borderId="25" xfId="4" applyNumberFormat="1" applyFont="1" applyFill="1" applyBorder="1" applyAlignment="1">
      <alignment wrapText="1"/>
    </xf>
    <xf numFmtId="170" fontId="7" fillId="2" borderId="34" xfId="4" applyNumberFormat="1" applyFont="1" applyFill="1" applyBorder="1"/>
    <xf numFmtId="170" fontId="7" fillId="2" borderId="35" xfId="4" applyNumberFormat="1" applyFont="1" applyFill="1" applyBorder="1"/>
    <xf numFmtId="170" fontId="12" fillId="2" borderId="18" xfId="4" applyNumberFormat="1" applyFont="1" applyFill="1" applyBorder="1" applyAlignment="1">
      <alignment horizontal="left" wrapText="1"/>
    </xf>
    <xf numFmtId="0" fontId="12" fillId="2" borderId="20" xfId="4" applyFont="1" applyFill="1" applyBorder="1" applyAlignment="1">
      <alignment horizontal="left" wrapText="1"/>
    </xf>
    <xf numFmtId="9" fontId="12" fillId="2" borderId="21" xfId="3" applyFont="1" applyFill="1" applyBorder="1" applyAlignment="1">
      <alignment wrapText="1"/>
    </xf>
    <xf numFmtId="9" fontId="12" fillId="2" borderId="32" xfId="3" applyFont="1" applyFill="1" applyBorder="1" applyAlignment="1">
      <alignment wrapText="1"/>
    </xf>
    <xf numFmtId="9" fontId="12" fillId="2" borderId="33" xfId="3" applyFont="1" applyFill="1" applyBorder="1" applyAlignment="1">
      <alignment wrapText="1"/>
    </xf>
    <xf numFmtId="169" fontId="30" fillId="2" borderId="1" xfId="1" applyNumberFormat="1" applyFont="1" applyFill="1" applyBorder="1"/>
    <xf numFmtId="14" fontId="30" fillId="2" borderId="1" xfId="1" applyNumberFormat="1" applyFont="1" applyFill="1" applyBorder="1"/>
    <xf numFmtId="0" fontId="7" fillId="6" borderId="8" xfId="4" applyFont="1" applyFill="1" applyBorder="1"/>
    <xf numFmtId="0" fontId="6" fillId="6" borderId="8" xfId="4" applyFont="1" applyFill="1" applyBorder="1"/>
    <xf numFmtId="169" fontId="6" fillId="6" borderId="8" xfId="1" applyNumberFormat="1" applyFont="1" applyFill="1" applyBorder="1"/>
    <xf numFmtId="0" fontId="18" fillId="2" borderId="36" xfId="0" applyFont="1" applyFill="1" applyBorder="1"/>
    <xf numFmtId="0" fontId="18" fillId="2" borderId="37" xfId="0" applyFont="1" applyFill="1" applyBorder="1"/>
    <xf numFmtId="169" fontId="18" fillId="2" borderId="37" xfId="1" applyNumberFormat="1" applyFont="1" applyFill="1" applyBorder="1"/>
    <xf numFmtId="0" fontId="18" fillId="2" borderId="38" xfId="0" applyFont="1" applyFill="1" applyBorder="1"/>
    <xf numFmtId="0" fontId="18" fillId="2" borderId="39" xfId="0" applyFont="1" applyFill="1" applyBorder="1"/>
    <xf numFmtId="169" fontId="18" fillId="2" borderId="0" xfId="1" applyNumberFormat="1" applyFont="1" applyFill="1" applyBorder="1"/>
    <xf numFmtId="0" fontId="18" fillId="2" borderId="40" xfId="0" applyFont="1" applyFill="1" applyBorder="1"/>
    <xf numFmtId="169" fontId="15" fillId="2" borderId="0" xfId="1" applyNumberFormat="1" applyFont="1" applyFill="1" applyBorder="1"/>
    <xf numFmtId="0" fontId="18" fillId="2" borderId="41" xfId="0" applyFont="1" applyFill="1" applyBorder="1"/>
    <xf numFmtId="0" fontId="18" fillId="2" borderId="42" xfId="0" applyFont="1" applyFill="1" applyBorder="1"/>
    <xf numFmtId="169" fontId="18" fillId="2" borderId="42" xfId="1" applyNumberFormat="1" applyFont="1" applyFill="1" applyBorder="1"/>
    <xf numFmtId="0" fontId="18" fillId="2" borderId="43" xfId="0" applyFont="1" applyFill="1" applyBorder="1"/>
    <xf numFmtId="0" fontId="18" fillId="6" borderId="0" xfId="0" applyFont="1" applyFill="1"/>
    <xf numFmtId="169" fontId="18" fillId="6" borderId="0" xfId="1" applyNumberFormat="1" applyFont="1" applyFill="1"/>
    <xf numFmtId="0" fontId="31" fillId="0" borderId="1" xfId="0" applyFont="1" applyBorder="1"/>
    <xf numFmtId="170" fontId="6" fillId="6" borderId="8" xfId="2" applyNumberFormat="1" applyFont="1" applyFill="1" applyBorder="1"/>
    <xf numFmtId="0" fontId="19" fillId="6" borderId="0" xfId="4" applyFont="1" applyFill="1" applyBorder="1"/>
    <xf numFmtId="170" fontId="6" fillId="6" borderId="8" xfId="4" applyNumberFormat="1" applyFont="1" applyFill="1" applyBorder="1"/>
    <xf numFmtId="172" fontId="32" fillId="9" borderId="0" xfId="4" applyNumberFormat="1" applyFont="1" applyFill="1" applyBorder="1" applyAlignment="1">
      <alignment wrapText="1"/>
    </xf>
    <xf numFmtId="172" fontId="32" fillId="9" borderId="26" xfId="4" applyNumberFormat="1" applyFont="1" applyFill="1" applyBorder="1" applyAlignment="1">
      <alignment wrapText="1"/>
    </xf>
    <xf numFmtId="172" fontId="32" fillId="9" borderId="27" xfId="4" applyNumberFormat="1" applyFont="1" applyFill="1" applyBorder="1" applyAlignment="1">
      <alignment wrapText="1"/>
    </xf>
    <xf numFmtId="170" fontId="32" fillId="9" borderId="0" xfId="4" applyNumberFormat="1" applyFont="1" applyFill="1" applyBorder="1" applyAlignment="1">
      <alignment wrapText="1"/>
    </xf>
    <xf numFmtId="170" fontId="32" fillId="9" borderId="26" xfId="4" applyNumberFormat="1" applyFont="1" applyFill="1" applyBorder="1" applyAlignment="1">
      <alignment wrapText="1"/>
    </xf>
    <xf numFmtId="170" fontId="32" fillId="9" borderId="27" xfId="4" applyNumberFormat="1" applyFont="1" applyFill="1" applyBorder="1" applyAlignment="1">
      <alignment wrapText="1"/>
    </xf>
    <xf numFmtId="172" fontId="33" fillId="7" borderId="0" xfId="4" applyNumberFormat="1" applyFont="1" applyFill="1" applyBorder="1" applyAlignment="1">
      <alignment wrapText="1"/>
    </xf>
    <xf numFmtId="172" fontId="33" fillId="7" borderId="26" xfId="4" applyNumberFormat="1" applyFont="1" applyFill="1" applyBorder="1" applyAlignment="1">
      <alignment wrapText="1"/>
    </xf>
    <xf numFmtId="172" fontId="33" fillId="7" borderId="27" xfId="4" applyNumberFormat="1" applyFont="1" applyFill="1" applyBorder="1" applyAlignment="1">
      <alignment wrapText="1"/>
    </xf>
    <xf numFmtId="170" fontId="33" fillId="7" borderId="0" xfId="4" applyNumberFormat="1" applyFont="1" applyFill="1" applyBorder="1" applyAlignment="1">
      <alignment wrapText="1"/>
    </xf>
    <xf numFmtId="170" fontId="33" fillId="7" borderId="26" xfId="4" applyNumberFormat="1" applyFont="1" applyFill="1" applyBorder="1" applyAlignment="1">
      <alignment wrapText="1"/>
    </xf>
    <xf numFmtId="170" fontId="33" fillId="7" borderId="27" xfId="4" applyNumberFormat="1" applyFont="1" applyFill="1" applyBorder="1" applyAlignment="1">
      <alignment wrapText="1"/>
    </xf>
    <xf numFmtId="17" fontId="5" fillId="10" borderId="1" xfId="4" applyNumberFormat="1" applyFont="1" applyFill="1" applyBorder="1" applyAlignment="1">
      <alignment horizontal="center" wrapText="1"/>
    </xf>
    <xf numFmtId="0" fontId="2" fillId="10" borderId="0" xfId="4" applyFill="1"/>
    <xf numFmtId="169" fontId="7" fillId="10" borderId="0" xfId="1" applyNumberFormat="1" applyFont="1" applyFill="1" applyAlignment="1">
      <alignment horizontal="right" wrapText="1"/>
    </xf>
    <xf numFmtId="169" fontId="6" fillId="10" borderId="2" xfId="1" applyNumberFormat="1" applyFont="1" applyFill="1" applyBorder="1" applyAlignment="1">
      <alignment horizontal="right" wrapText="1"/>
    </xf>
    <xf numFmtId="169" fontId="6" fillId="10" borderId="0" xfId="1" applyNumberFormat="1" applyFont="1" applyFill="1" applyBorder="1" applyAlignment="1">
      <alignment horizontal="right" wrapText="1"/>
    </xf>
    <xf numFmtId="169" fontId="7" fillId="10" borderId="0" xfId="1" applyNumberFormat="1" applyFont="1" applyFill="1" applyAlignment="1">
      <alignment wrapText="1"/>
    </xf>
    <xf numFmtId="9" fontId="6" fillId="10" borderId="2" xfId="3" applyFont="1" applyFill="1" applyBorder="1" applyAlignment="1">
      <alignment horizontal="right" wrapText="1"/>
    </xf>
    <xf numFmtId="172" fontId="35" fillId="7" borderId="0" xfId="4" applyNumberFormat="1" applyFont="1" applyFill="1" applyBorder="1" applyAlignment="1">
      <alignment wrapText="1"/>
    </xf>
    <xf numFmtId="172" fontId="35" fillId="2" borderId="0" xfId="4" applyNumberFormat="1" applyFont="1" applyFill="1" applyBorder="1" applyAlignment="1">
      <alignment wrapText="1"/>
    </xf>
    <xf numFmtId="172" fontId="35" fillId="2" borderId="1" xfId="4" applyNumberFormat="1" applyFont="1" applyFill="1" applyBorder="1" applyAlignment="1">
      <alignment wrapText="1"/>
    </xf>
    <xf numFmtId="9" fontId="21" fillId="2" borderId="0" xfId="3" applyFont="1" applyFill="1" applyBorder="1" applyAlignment="1">
      <alignment wrapText="1"/>
    </xf>
    <xf numFmtId="0" fontId="0" fillId="6" borderId="0" xfId="0" applyFill="1" applyBorder="1"/>
    <xf numFmtId="0" fontId="20" fillId="2" borderId="0" xfId="0" applyFont="1" applyFill="1" applyBorder="1"/>
    <xf numFmtId="0" fontId="20" fillId="2" borderId="39" xfId="0" applyFont="1" applyFill="1" applyBorder="1"/>
    <xf numFmtId="169" fontId="20" fillId="2" borderId="0" xfId="1" applyNumberFormat="1" applyFont="1" applyFill="1" applyBorder="1"/>
    <xf numFmtId="0" fontId="20" fillId="2" borderId="40" xfId="0" applyFont="1" applyFill="1" applyBorder="1"/>
    <xf numFmtId="0" fontId="20" fillId="6" borderId="0" xfId="0" applyFont="1" applyFill="1"/>
    <xf numFmtId="0" fontId="16" fillId="2" borderId="0" xfId="0" applyFont="1" applyFill="1" applyBorder="1"/>
    <xf numFmtId="0" fontId="14" fillId="2" borderId="8" xfId="4" applyFont="1" applyFill="1" applyBorder="1" applyAlignment="1">
      <alignment horizontal="center" wrapText="1"/>
    </xf>
    <xf numFmtId="9" fontId="14" fillId="2" borderId="9" xfId="4" applyNumberFormat="1" applyFont="1" applyFill="1" applyBorder="1" applyAlignment="1">
      <alignment horizontal="center" wrapText="1"/>
    </xf>
    <xf numFmtId="0" fontId="14" fillId="2" borderId="9" xfId="4" applyFont="1" applyFill="1" applyBorder="1" applyAlignment="1">
      <alignment horizontal="center" wrapText="1"/>
    </xf>
    <xf numFmtId="174" fontId="14" fillId="2" borderId="9" xfId="3" applyNumberFormat="1" applyFont="1" applyFill="1" applyBorder="1" applyAlignment="1">
      <alignment horizontal="center" wrapText="1"/>
    </xf>
    <xf numFmtId="9" fontId="14" fillId="2" borderId="9" xfId="3" applyFont="1" applyFill="1" applyBorder="1" applyAlignment="1">
      <alignment horizontal="center" wrapText="1"/>
    </xf>
    <xf numFmtId="0" fontId="16" fillId="2" borderId="0" xfId="0" applyFont="1" applyFill="1" applyBorder="1" applyAlignment="1">
      <alignment horizontal="center"/>
    </xf>
    <xf numFmtId="174" fontId="14" fillId="2" borderId="9" xfId="4" applyNumberFormat="1" applyFont="1" applyFill="1" applyBorder="1" applyAlignment="1">
      <alignment horizontal="center" wrapText="1"/>
    </xf>
    <xf numFmtId="0" fontId="16" fillId="2" borderId="0" xfId="0" applyFont="1" applyFill="1" applyBorder="1" applyAlignment="1">
      <alignment horizontal="left"/>
    </xf>
    <xf numFmtId="169" fontId="20" fillId="2" borderId="0" xfId="1" applyNumberFormat="1" applyFont="1" applyFill="1" applyBorder="1" applyAlignment="1">
      <alignment horizontal="left"/>
    </xf>
    <xf numFmtId="0" fontId="37" fillId="2" borderId="0" xfId="1" applyNumberFormat="1" applyFont="1" applyFill="1" applyBorder="1" applyAlignment="1">
      <alignment horizontal="center"/>
    </xf>
    <xf numFmtId="175" fontId="20" fillId="2" borderId="0" xfId="1" applyNumberFormat="1" applyFont="1" applyFill="1" applyBorder="1" applyAlignment="1">
      <alignment horizontal="center"/>
    </xf>
    <xf numFmtId="9" fontId="20" fillId="2" borderId="0" xfId="3" applyFont="1" applyFill="1" applyBorder="1" applyAlignment="1">
      <alignment horizontal="center"/>
    </xf>
    <xf numFmtId="174" fontId="7" fillId="2" borderId="0" xfId="4" applyNumberFormat="1" applyFont="1" applyFill="1" applyBorder="1" applyAlignment="1">
      <alignment horizontal="center" wrapText="1"/>
    </xf>
    <xf numFmtId="2" fontId="7" fillId="2" borderId="0" xfId="4" applyNumberFormat="1" applyFont="1" applyFill="1" applyBorder="1" applyAlignment="1">
      <alignment horizontal="center" wrapText="1"/>
    </xf>
    <xf numFmtId="9" fontId="7" fillId="2" borderId="0" xfId="4" applyNumberFormat="1" applyFont="1" applyFill="1" applyBorder="1" applyAlignment="1">
      <alignment horizontal="center" wrapText="1"/>
    </xf>
    <xf numFmtId="175" fontId="7" fillId="2" borderId="0" xfId="4" applyNumberFormat="1" applyFont="1" applyFill="1" applyBorder="1" applyAlignment="1">
      <alignment horizontal="center" wrapText="1"/>
    </xf>
    <xf numFmtId="174" fontId="7" fillId="2" borderId="0" xfId="3" applyNumberFormat="1" applyFont="1" applyFill="1" applyBorder="1" applyAlignment="1">
      <alignment horizontal="center" wrapText="1"/>
    </xf>
    <xf numFmtId="9" fontId="7" fillId="2" borderId="0" xfId="3" applyFont="1" applyFill="1" applyBorder="1" applyAlignment="1">
      <alignment horizontal="center" wrapText="1"/>
    </xf>
    <xf numFmtId="174" fontId="23" fillId="2" borderId="0" xfId="4" applyNumberFormat="1" applyFont="1" applyFill="1" applyBorder="1" applyAlignment="1">
      <alignment horizontal="center" wrapText="1"/>
    </xf>
    <xf numFmtId="2" fontId="23" fillId="2" borderId="0" xfId="4" applyNumberFormat="1" applyFont="1" applyFill="1" applyBorder="1" applyAlignment="1">
      <alignment horizontal="center" wrapText="1"/>
    </xf>
    <xf numFmtId="175" fontId="23" fillId="2" borderId="0" xfId="4" applyNumberFormat="1" applyFont="1" applyFill="1" applyBorder="1" applyAlignment="1">
      <alignment horizontal="center" wrapText="1"/>
    </xf>
    <xf numFmtId="174" fontId="23" fillId="2" borderId="0" xfId="3" applyNumberFormat="1" applyFont="1" applyFill="1" applyBorder="1" applyAlignment="1">
      <alignment horizontal="center" wrapText="1"/>
    </xf>
    <xf numFmtId="9" fontId="23" fillId="2" borderId="0" xfId="3" applyFont="1" applyFill="1" applyBorder="1" applyAlignment="1">
      <alignment horizontal="center" wrapText="1"/>
    </xf>
    <xf numFmtId="1" fontId="20" fillId="2" borderId="0" xfId="1" applyNumberFormat="1" applyFont="1" applyFill="1" applyBorder="1" applyAlignment="1">
      <alignment horizontal="center"/>
    </xf>
    <xf numFmtId="175" fontId="38" fillId="2" borderId="0" xfId="0" applyNumberFormat="1" applyFont="1" applyFill="1" applyBorder="1" applyAlignment="1">
      <alignment horizontal="center"/>
    </xf>
    <xf numFmtId="9" fontId="37" fillId="2" borderId="0" xfId="0" applyNumberFormat="1" applyFont="1" applyFill="1" applyBorder="1" applyAlignment="1">
      <alignment horizontal="center"/>
    </xf>
    <xf numFmtId="1" fontId="37" fillId="2" borderId="0" xfId="1" applyNumberFormat="1" applyFont="1" applyFill="1" applyBorder="1" applyAlignment="1">
      <alignment horizontal="center"/>
    </xf>
    <xf numFmtId="0" fontId="5" fillId="0" borderId="1" xfId="0" applyFont="1" applyBorder="1" applyAlignment="1">
      <alignment horizontal="center" wrapText="1"/>
    </xf>
    <xf numFmtId="166" fontId="7" fillId="0" borderId="0" xfId="0" applyNumberFormat="1" applyFont="1" applyAlignment="1">
      <alignment wrapText="1"/>
    </xf>
    <xf numFmtId="166" fontId="7" fillId="0" borderId="0" xfId="0" applyNumberFormat="1" applyFont="1" applyAlignment="1">
      <alignment horizontal="right" wrapText="1"/>
    </xf>
    <xf numFmtId="167" fontId="6" fillId="0" borderId="2" xfId="0" applyNumberFormat="1" applyFont="1" applyBorder="1" applyAlignment="1">
      <alignment horizontal="right" wrapText="1"/>
    </xf>
    <xf numFmtId="0" fontId="0" fillId="0" borderId="0" xfId="0" applyAlignment="1">
      <alignment wrapText="1"/>
    </xf>
    <xf numFmtId="0" fontId="6" fillId="0" borderId="0" xfId="0" applyFont="1" applyAlignment="1">
      <alignment horizontal="left" wrapText="1"/>
    </xf>
    <xf numFmtId="17" fontId="5" fillId="9" borderId="1" xfId="4" applyNumberFormat="1" applyFont="1" applyFill="1" applyBorder="1" applyAlignment="1">
      <alignment horizontal="center" wrapText="1"/>
    </xf>
    <xf numFmtId="0" fontId="2" fillId="9" borderId="0" xfId="4" applyFill="1"/>
    <xf numFmtId="169" fontId="7" fillId="9" borderId="0" xfId="1" applyNumberFormat="1" applyFont="1" applyFill="1" applyAlignment="1">
      <alignment horizontal="right" wrapText="1"/>
    </xf>
    <xf numFmtId="169" fontId="6" fillId="9" borderId="2" xfId="1" applyNumberFormat="1" applyFont="1" applyFill="1" applyBorder="1" applyAlignment="1">
      <alignment horizontal="right" wrapText="1"/>
    </xf>
    <xf numFmtId="169" fontId="6" fillId="9" borderId="0" xfId="1" applyNumberFormat="1" applyFont="1" applyFill="1" applyBorder="1" applyAlignment="1">
      <alignment horizontal="right" wrapText="1"/>
    </xf>
    <xf numFmtId="169" fontId="7" fillId="9" borderId="0" xfId="1" applyNumberFormat="1" applyFont="1" applyFill="1" applyAlignment="1">
      <alignment wrapText="1"/>
    </xf>
    <xf numFmtId="9" fontId="6" fillId="9" borderId="2" xfId="3" applyFont="1" applyFill="1" applyBorder="1" applyAlignment="1">
      <alignment horizontal="right" wrapText="1"/>
    </xf>
    <xf numFmtId="169" fontId="15" fillId="2" borderId="17" xfId="1" applyNumberFormat="1" applyFont="1" applyFill="1" applyBorder="1" applyAlignment="1">
      <alignment horizontal="center" vertical="center"/>
    </xf>
    <xf numFmtId="169" fontId="15" fillId="2" borderId="3" xfId="1" applyNumberFormat="1" applyFont="1" applyFill="1" applyBorder="1" applyAlignment="1">
      <alignment horizontal="center" vertical="center"/>
    </xf>
    <xf numFmtId="169" fontId="15" fillId="2" borderId="22" xfId="1" applyNumberFormat="1" applyFont="1" applyFill="1" applyBorder="1" applyAlignment="1">
      <alignment horizontal="center" vertical="center"/>
    </xf>
    <xf numFmtId="169" fontId="15" fillId="2" borderId="23" xfId="1" applyNumberFormat="1" applyFont="1" applyFill="1" applyBorder="1" applyAlignment="1">
      <alignment horizontal="center" vertical="center"/>
    </xf>
    <xf numFmtId="0" fontId="7" fillId="5" borderId="4" xfId="4" applyFont="1" applyFill="1" applyBorder="1" applyAlignment="1">
      <alignment horizontal="center"/>
    </xf>
    <xf numFmtId="0" fontId="7" fillId="5" borderId="5" xfId="4" applyFont="1" applyFill="1" applyBorder="1" applyAlignment="1">
      <alignment horizontal="center"/>
    </xf>
    <xf numFmtId="0" fontId="14" fillId="5" borderId="6" xfId="4" applyFont="1" applyFill="1" applyBorder="1" applyAlignment="1">
      <alignment horizontal="center" wrapText="1"/>
    </xf>
    <xf numFmtId="0" fontId="14" fillId="5" borderId="7" xfId="4" applyFont="1" applyFill="1" applyBorder="1" applyAlignment="1">
      <alignment horizontal="center" wrapText="1"/>
    </xf>
    <xf numFmtId="0" fontId="14" fillId="5" borderId="4" xfId="4" applyFont="1" applyFill="1" applyBorder="1" applyAlignment="1">
      <alignment horizontal="center" wrapText="1"/>
    </xf>
    <xf numFmtId="0" fontId="14" fillId="5" borderId="5" xfId="4" applyFont="1" applyFill="1" applyBorder="1" applyAlignment="1">
      <alignment horizontal="center" wrapText="1"/>
    </xf>
    <xf numFmtId="0" fontId="3" fillId="0" borderId="0" xfId="0" applyFont="1" applyAlignment="1">
      <alignment horizontal="center"/>
    </xf>
    <xf numFmtId="0" fontId="0" fillId="0" borderId="0" xfId="0"/>
    <xf numFmtId="0" fontId="4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175" fontId="37" fillId="2" borderId="0" xfId="1" applyNumberFormat="1" applyFont="1" applyFill="1" applyBorder="1" applyAlignment="1">
      <alignment horizontal="center"/>
    </xf>
    <xf numFmtId="9" fontId="37" fillId="2" borderId="0" xfId="3" applyNumberFormat="1" applyFont="1" applyFill="1" applyBorder="1" applyAlignment="1">
      <alignment horizontal="center"/>
    </xf>
    <xf numFmtId="0" fontId="9" fillId="2" borderId="44" xfId="4" applyFont="1" applyFill="1" applyBorder="1"/>
    <xf numFmtId="0" fontId="9" fillId="2" borderId="45" xfId="4" applyFont="1" applyFill="1" applyBorder="1"/>
    <xf numFmtId="17" fontId="5" fillId="2" borderId="46" xfId="4" applyNumberFormat="1" applyFont="1" applyFill="1" applyBorder="1" applyAlignment="1">
      <alignment horizontal="center" vertical="center"/>
    </xf>
    <xf numFmtId="17" fontId="6" fillId="7" borderId="45" xfId="4" applyNumberFormat="1" applyFont="1" applyFill="1" applyBorder="1" applyAlignment="1">
      <alignment horizontal="center" vertical="center"/>
    </xf>
    <xf numFmtId="172" fontId="35" fillId="2" borderId="45" xfId="4" applyNumberFormat="1" applyFont="1" applyFill="1" applyBorder="1" applyAlignment="1">
      <alignment wrapText="1"/>
    </xf>
    <xf numFmtId="172" fontId="35" fillId="2" borderId="46" xfId="4" applyNumberFormat="1" applyFont="1" applyFill="1" applyBorder="1" applyAlignment="1">
      <alignment wrapText="1"/>
    </xf>
    <xf numFmtId="172" fontId="21" fillId="2" borderId="45" xfId="4" applyNumberFormat="1" applyFont="1" applyFill="1" applyBorder="1" applyAlignment="1">
      <alignment wrapText="1"/>
    </xf>
    <xf numFmtId="172" fontId="35" fillId="7" borderId="45" xfId="4" applyNumberFormat="1" applyFont="1" applyFill="1" applyBorder="1" applyAlignment="1">
      <alignment wrapText="1"/>
    </xf>
    <xf numFmtId="9" fontId="21" fillId="2" borderId="45" xfId="3" applyFont="1" applyFill="1" applyBorder="1" applyAlignment="1">
      <alignment wrapText="1"/>
    </xf>
    <xf numFmtId="170" fontId="20" fillId="8" borderId="45" xfId="0" applyNumberFormat="1" applyFont="1" applyFill="1" applyBorder="1" applyAlignment="1">
      <alignment horizontal="right" vertical="center"/>
    </xf>
    <xf numFmtId="173" fontId="10" fillId="2" borderId="45" xfId="4" applyNumberFormat="1" applyFont="1" applyFill="1" applyBorder="1" applyAlignment="1">
      <alignment wrapText="1"/>
    </xf>
    <xf numFmtId="172" fontId="10" fillId="2" borderId="45" xfId="4" applyNumberFormat="1" applyFont="1" applyFill="1" applyBorder="1" applyAlignment="1">
      <alignment wrapText="1"/>
    </xf>
    <xf numFmtId="174" fontId="10" fillId="2" borderId="45" xfId="3" applyNumberFormat="1" applyFont="1" applyFill="1" applyBorder="1" applyAlignment="1">
      <alignment wrapText="1"/>
    </xf>
    <xf numFmtId="165" fontId="10" fillId="8" borderId="45" xfId="1" applyFont="1" applyFill="1" applyBorder="1" applyAlignment="1">
      <alignment horizontal="right" vertical="center"/>
    </xf>
    <xf numFmtId="168" fontId="11" fillId="2" borderId="46" xfId="1" applyNumberFormat="1" applyFont="1" applyFill="1" applyBorder="1" applyAlignment="1">
      <alignment horizontal="center" wrapText="1"/>
    </xf>
    <xf numFmtId="171" fontId="7" fillId="7" borderId="45" xfId="4" applyNumberFormat="1" applyFont="1" applyFill="1" applyBorder="1" applyAlignment="1">
      <alignment wrapText="1"/>
    </xf>
    <xf numFmtId="172" fontId="7" fillId="2" borderId="45" xfId="4" applyNumberFormat="1" applyFont="1" applyFill="1" applyBorder="1" applyAlignment="1">
      <alignment wrapText="1"/>
    </xf>
    <xf numFmtId="172" fontId="7" fillId="2" borderId="46" xfId="4" applyNumberFormat="1" applyFont="1" applyFill="1" applyBorder="1" applyAlignment="1">
      <alignment wrapText="1"/>
    </xf>
    <xf numFmtId="170" fontId="6" fillId="2" borderId="45" xfId="2" applyNumberFormat="1" applyFont="1" applyFill="1" applyBorder="1" applyAlignment="1">
      <alignment wrapText="1"/>
    </xf>
    <xf numFmtId="172" fontId="7" fillId="7" borderId="45" xfId="4" applyNumberFormat="1" applyFont="1" applyFill="1" applyBorder="1" applyAlignment="1">
      <alignment wrapText="1"/>
    </xf>
    <xf numFmtId="170" fontId="6" fillId="2" borderId="47" xfId="4" applyNumberFormat="1" applyFont="1" applyFill="1" applyBorder="1" applyAlignment="1">
      <alignment wrapText="1"/>
    </xf>
    <xf numFmtId="170" fontId="6" fillId="7" borderId="45" xfId="4" applyNumberFormat="1" applyFont="1" applyFill="1" applyBorder="1" applyAlignment="1">
      <alignment wrapText="1"/>
    </xf>
    <xf numFmtId="170" fontId="6" fillId="2" borderId="45" xfId="4" applyNumberFormat="1" applyFont="1" applyFill="1" applyBorder="1" applyAlignment="1">
      <alignment wrapText="1"/>
    </xf>
    <xf numFmtId="170" fontId="6" fillId="2" borderId="48" xfId="4" applyNumberFormat="1" applyFont="1" applyFill="1" applyBorder="1" applyAlignment="1">
      <alignment wrapText="1"/>
    </xf>
    <xf numFmtId="172" fontId="7" fillId="9" borderId="45" xfId="4" applyNumberFormat="1" applyFont="1" applyFill="1" applyBorder="1" applyAlignment="1">
      <alignment wrapText="1"/>
    </xf>
    <xf numFmtId="170" fontId="7" fillId="2" borderId="48" xfId="4" applyNumberFormat="1" applyFont="1" applyFill="1" applyBorder="1" applyAlignment="1">
      <alignment wrapText="1"/>
    </xf>
    <xf numFmtId="170" fontId="10" fillId="2" borderId="45" xfId="4" applyNumberFormat="1" applyFont="1" applyFill="1" applyBorder="1" applyAlignment="1">
      <alignment wrapText="1"/>
    </xf>
    <xf numFmtId="170" fontId="7" fillId="2" borderId="45" xfId="4" applyNumberFormat="1" applyFont="1" applyFill="1" applyBorder="1"/>
    <xf numFmtId="0" fontId="22" fillId="2" borderId="45" xfId="4" applyFont="1" applyFill="1" applyBorder="1"/>
    <xf numFmtId="169" fontId="7" fillId="2" borderId="49" xfId="1" applyNumberFormat="1" applyFont="1" applyFill="1" applyBorder="1"/>
    <xf numFmtId="0" fontId="39" fillId="2" borderId="45" xfId="4" applyFont="1" applyFill="1" applyBorder="1" applyAlignment="1">
      <alignment horizontal="center"/>
    </xf>
    <xf numFmtId="0" fontId="29" fillId="2" borderId="45" xfId="4" applyFont="1" applyFill="1" applyBorder="1"/>
    <xf numFmtId="0" fontId="12" fillId="2" borderId="45" xfId="4" applyFont="1" applyFill="1" applyBorder="1" applyAlignment="1">
      <alignment horizontal="center"/>
    </xf>
    <xf numFmtId="17" fontId="5" fillId="2" borderId="46" xfId="4" applyNumberFormat="1" applyFont="1" applyFill="1" applyBorder="1" applyAlignment="1">
      <alignment horizontal="center" wrapText="1"/>
    </xf>
    <xf numFmtId="171" fontId="26" fillId="9" borderId="45" xfId="4" applyNumberFormat="1" applyFont="1" applyFill="1" applyBorder="1" applyAlignment="1">
      <alignment wrapText="1"/>
    </xf>
    <xf numFmtId="169" fontId="7" fillId="2" borderId="45" xfId="1" applyNumberFormat="1" applyFont="1" applyFill="1" applyBorder="1" applyAlignment="1">
      <alignment wrapText="1"/>
    </xf>
    <xf numFmtId="169" fontId="7" fillId="2" borderId="46" xfId="1" applyNumberFormat="1" applyFont="1" applyFill="1" applyBorder="1" applyAlignment="1">
      <alignment wrapText="1"/>
    </xf>
    <xf numFmtId="171" fontId="27" fillId="7" borderId="45" xfId="4" applyNumberFormat="1" applyFont="1" applyFill="1" applyBorder="1" applyAlignment="1">
      <alignment wrapText="1"/>
    </xf>
    <xf numFmtId="9" fontId="12" fillId="2" borderId="45" xfId="3" applyFont="1" applyFill="1" applyBorder="1" applyAlignment="1">
      <alignment wrapText="1"/>
    </xf>
    <xf numFmtId="170" fontId="25" fillId="9" borderId="45" xfId="4" applyNumberFormat="1" applyFont="1" applyFill="1" applyBorder="1" applyAlignment="1">
      <alignment wrapText="1"/>
    </xf>
    <xf numFmtId="170" fontId="25" fillId="7" borderId="45" xfId="4" applyNumberFormat="1" applyFont="1" applyFill="1" applyBorder="1" applyAlignment="1">
      <alignment wrapText="1"/>
    </xf>
    <xf numFmtId="170" fontId="9" fillId="2" borderId="45" xfId="4" applyNumberFormat="1" applyFont="1" applyFill="1" applyBorder="1"/>
    <xf numFmtId="170" fontId="7" fillId="9" borderId="45" xfId="4" applyNumberFormat="1" applyFont="1" applyFill="1" applyBorder="1" applyAlignment="1">
      <alignment wrapText="1"/>
    </xf>
    <xf numFmtId="170" fontId="6" fillId="2" borderId="45" xfId="4" applyNumberFormat="1" applyFont="1" applyFill="1" applyBorder="1"/>
    <xf numFmtId="170" fontId="22" fillId="2" borderId="45" xfId="4" applyNumberFormat="1" applyFont="1" applyFill="1" applyBorder="1"/>
    <xf numFmtId="0" fontId="9" fillId="2" borderId="49" xfId="4" applyFont="1" applyFill="1" applyBorder="1"/>
    <xf numFmtId="165" fontId="18" fillId="6" borderId="0" xfId="1" applyFont="1" applyFill="1"/>
    <xf numFmtId="0" fontId="36" fillId="2" borderId="0" xfId="4" applyFont="1" applyFill="1" applyAlignment="1">
      <alignment wrapText="1"/>
    </xf>
    <xf numFmtId="0" fontId="36" fillId="2" borderId="0" xfId="4" applyFont="1" applyFill="1" applyAlignment="1">
      <alignment horizontal="left" wrapText="1"/>
    </xf>
  </cellXfs>
  <cellStyles count="6">
    <cellStyle name="Comma" xfId="1" builtinId="3"/>
    <cellStyle name="Currency" xfId="2" builtinId="4"/>
    <cellStyle name="Normal" xfId="0" builtinId="0"/>
    <cellStyle name="Normal 2" xfId="4" xr:uid="{00000000-0005-0000-0000-000003000000}"/>
    <cellStyle name="Normal 3" xfId="5" xr:uid="{00000000-0005-0000-0000-000004000000}"/>
    <cellStyle name="Percent" xfId="3" builtinId="5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tyles" Target="styles.xml"/><Relationship Id="rId35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57150</xdr:rowOff>
    </xdr:from>
    <xdr:to>
      <xdr:col>1</xdr:col>
      <xdr:colOff>1152525</xdr:colOff>
      <xdr:row>1</xdr:row>
      <xdr:rowOff>162408</xdr:rowOff>
    </xdr:to>
    <xdr:pic>
      <xdr:nvPicPr>
        <xdr:cNvPr id="2" name="Picture 1" descr="Image result for nadine west logo">
          <a:extLst>
            <a:ext uri="{FF2B5EF4-FFF2-40B4-BE49-F238E27FC236}">
              <a16:creationId xmlns:a16="http://schemas.microsoft.com/office/drawing/2014/main" id="{3C6681D2-77C2-40E8-8A0E-79C4565832B3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6304" b="30652"/>
        <a:stretch/>
      </xdr:blipFill>
      <xdr:spPr bwMode="auto">
        <a:xfrm>
          <a:off x="274320" y="57150"/>
          <a:ext cx="1152525" cy="28051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57150</xdr:rowOff>
    </xdr:from>
    <xdr:to>
      <xdr:col>1</xdr:col>
      <xdr:colOff>1152525</xdr:colOff>
      <xdr:row>1</xdr:row>
      <xdr:rowOff>162408</xdr:rowOff>
    </xdr:to>
    <xdr:pic>
      <xdr:nvPicPr>
        <xdr:cNvPr id="2" name="Picture 1" descr="Image result for nadine west logo">
          <a:extLst>
            <a:ext uri="{FF2B5EF4-FFF2-40B4-BE49-F238E27FC236}">
              <a16:creationId xmlns:a16="http://schemas.microsoft.com/office/drawing/2014/main" id="{BEDA38F7-505A-4270-92A9-5023ADF95922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6304" b="30652"/>
        <a:stretch/>
      </xdr:blipFill>
      <xdr:spPr bwMode="auto">
        <a:xfrm>
          <a:off x="285750" y="57150"/>
          <a:ext cx="1152525" cy="27670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3615C5-72BE-46FD-845E-EB19E706E172}">
  <sheetPr>
    <tabColor theme="5" tint="0.79998168889431442"/>
  </sheetPr>
  <dimension ref="A1:P97"/>
  <sheetViews>
    <sheetView tabSelected="1" zoomScale="120" zoomScaleNormal="120" workbookViewId="0"/>
  </sheetViews>
  <sheetFormatPr defaultColWidth="9" defaultRowHeight="13.8" x14ac:dyDescent="0.25"/>
  <cols>
    <col min="1" max="1" width="4" style="284" customWidth="1"/>
    <col min="2" max="2" width="26" style="284" customWidth="1"/>
    <col min="3" max="6" width="15.33203125" style="285" customWidth="1"/>
    <col min="7" max="7" width="31.77734375" style="285" bestFit="1" customWidth="1"/>
    <col min="8" max="8" width="14.5546875" style="285" customWidth="1"/>
    <col min="9" max="9" width="9" style="284"/>
    <col min="10" max="10" width="1.44140625" style="284" customWidth="1"/>
    <col min="11" max="16384" width="9" style="284"/>
  </cols>
  <sheetData>
    <row r="1" spans="1:16" x14ac:dyDescent="0.25">
      <c r="A1" s="272"/>
      <c r="B1" s="273"/>
      <c r="C1" s="274"/>
      <c r="D1" s="274"/>
      <c r="E1" s="274"/>
      <c r="F1" s="274"/>
      <c r="G1" s="274"/>
      <c r="H1" s="274"/>
      <c r="I1" s="275"/>
      <c r="K1" s="319" t="s">
        <v>509</v>
      </c>
      <c r="L1" s="330"/>
      <c r="M1" s="330"/>
      <c r="N1" s="316"/>
      <c r="O1" s="316"/>
      <c r="P1" s="316"/>
    </row>
    <row r="2" spans="1:16" x14ac:dyDescent="0.25">
      <c r="A2" s="276"/>
      <c r="B2" s="129"/>
      <c r="C2" s="277"/>
      <c r="D2" s="277"/>
      <c r="E2" s="277"/>
      <c r="F2" s="277"/>
      <c r="G2" s="277"/>
      <c r="H2" s="277"/>
      <c r="I2" s="278"/>
      <c r="K2" s="314"/>
      <c r="L2" s="330"/>
      <c r="M2" s="330"/>
      <c r="N2" s="316"/>
      <c r="O2" s="316"/>
      <c r="P2" s="316"/>
    </row>
    <row r="3" spans="1:16" x14ac:dyDescent="0.25">
      <c r="A3" s="276"/>
      <c r="B3" s="286" t="s">
        <v>488</v>
      </c>
      <c r="C3" s="217"/>
      <c r="D3" s="217"/>
      <c r="E3" s="217"/>
      <c r="F3" s="217"/>
      <c r="G3" s="216"/>
      <c r="H3" s="267"/>
      <c r="I3" s="278"/>
      <c r="K3" s="314" t="s">
        <v>533</v>
      </c>
      <c r="L3" s="330"/>
      <c r="M3" s="330"/>
      <c r="N3" s="316"/>
      <c r="O3" s="316"/>
      <c r="P3" s="316"/>
    </row>
    <row r="4" spans="1:16" x14ac:dyDescent="0.25">
      <c r="A4" s="276"/>
      <c r="B4" s="129"/>
      <c r="C4" s="277"/>
      <c r="D4" s="277"/>
      <c r="E4" s="277"/>
      <c r="F4" s="277"/>
      <c r="G4" s="279"/>
      <c r="H4" s="277"/>
      <c r="I4" s="278"/>
      <c r="K4" s="314"/>
      <c r="L4" s="330"/>
      <c r="M4" s="330"/>
      <c r="N4" s="316"/>
      <c r="O4" s="316"/>
      <c r="P4" s="316"/>
    </row>
    <row r="5" spans="1:16" x14ac:dyDescent="0.25">
      <c r="A5" s="276"/>
      <c r="B5" s="319" t="s">
        <v>489</v>
      </c>
      <c r="C5" s="325" t="s">
        <v>493</v>
      </c>
      <c r="D5" s="325" t="s">
        <v>532</v>
      </c>
      <c r="E5" s="325" t="s">
        <v>494</v>
      </c>
      <c r="F5" s="325" t="s">
        <v>495</v>
      </c>
      <c r="G5" s="327" t="s">
        <v>496</v>
      </c>
      <c r="H5" s="277"/>
      <c r="I5" s="278"/>
      <c r="K5" s="344">
        <f>F16</f>
        <v>51.464257161096604</v>
      </c>
      <c r="L5" s="346">
        <v>23</v>
      </c>
      <c r="M5" s="346">
        <v>24</v>
      </c>
      <c r="N5" s="346">
        <v>25</v>
      </c>
      <c r="O5" s="346">
        <v>26</v>
      </c>
      <c r="P5" s="346">
        <v>27</v>
      </c>
    </row>
    <row r="6" spans="1:16" s="318" customFormat="1" ht="10.199999999999999" x14ac:dyDescent="0.2">
      <c r="A6" s="315"/>
      <c r="B6" s="314" t="s">
        <v>490</v>
      </c>
      <c r="C6" s="338">
        <v>0.2</v>
      </c>
      <c r="D6" s="332">
        <f>AVERAGE(Analysis!BO13:BQ13)</f>
        <v>0.15558351143592555</v>
      </c>
      <c r="E6" s="332">
        <f>AVERAGE(Analysis!BL13:BQ13)</f>
        <v>0.17945842238462947</v>
      </c>
      <c r="F6" s="332">
        <f>AVERAGE(Analysis!BF13:BQ13)</f>
        <v>0.19998311517331505</v>
      </c>
      <c r="G6" s="328" t="s">
        <v>497</v>
      </c>
      <c r="H6" s="316"/>
      <c r="I6" s="317"/>
      <c r="K6" s="345">
        <v>0.18</v>
      </c>
      <c r="L6" s="343">
        <f t="dataTable" ref="L6:P10" dt2D="1" dtr="1" r1="C10" r2="C6" ca="1"/>
        <v>62.864395449661195</v>
      </c>
      <c r="M6" s="343">
        <v>60.284658484409796</v>
      </c>
      <c r="N6" s="343">
        <v>57.911300476378528</v>
      </c>
      <c r="O6" s="343">
        <v>55.72050846896505</v>
      </c>
      <c r="P6" s="343">
        <v>53.691997350989553</v>
      </c>
    </row>
    <row r="7" spans="1:16" s="318" customFormat="1" ht="10.199999999999999" x14ac:dyDescent="0.2">
      <c r="A7" s="315"/>
      <c r="B7" s="314" t="s">
        <v>239</v>
      </c>
      <c r="C7" s="339">
        <v>1.1000000000000001</v>
      </c>
      <c r="D7" s="333">
        <f>AVERAGE(Analysis!BO20:BQ20)</f>
        <v>0.84397864270732159</v>
      </c>
      <c r="E7" s="333">
        <f>AVERAGE(Analysis!BL20:BQ20)</f>
        <v>0.93578238850525486</v>
      </c>
      <c r="F7" s="333">
        <f>AVERAGE(Analysis!BF20:BQ20)</f>
        <v>1.0235788295368158</v>
      </c>
      <c r="G7" s="328" t="s">
        <v>500</v>
      </c>
      <c r="H7" s="316"/>
      <c r="I7" s="317"/>
      <c r="K7" s="345">
        <v>0.19</v>
      </c>
      <c r="L7" s="343">
        <v>59.224660941249873</v>
      </c>
      <c r="M7" s="343">
        <v>56.788729407608784</v>
      </c>
      <c r="N7" s="343">
        <v>54.547672396658974</v>
      </c>
      <c r="O7" s="343">
        <v>52.479004386551424</v>
      </c>
      <c r="P7" s="343">
        <v>50.563571043859291</v>
      </c>
    </row>
    <row r="8" spans="1:16" s="318" customFormat="1" ht="10.199999999999999" x14ac:dyDescent="0.2">
      <c r="A8" s="315"/>
      <c r="B8" s="314" t="s">
        <v>530</v>
      </c>
      <c r="C8" s="338">
        <v>0.06</v>
      </c>
      <c r="D8" s="332">
        <f>AVERAGE(Analysis!BO23:BQ23)</f>
        <v>0.3769045897885917</v>
      </c>
      <c r="E8" s="332">
        <f>AVERAGE(Analysis!BL23:BQ23)</f>
        <v>0.16263486033456734</v>
      </c>
      <c r="F8" s="332">
        <f>AVERAGE(Analysis!BF23:BQ23)</f>
        <v>7.9416485213936697E-2</v>
      </c>
      <c r="G8" s="328" t="s">
        <v>499</v>
      </c>
      <c r="H8" s="316"/>
      <c r="I8" s="317"/>
      <c r="K8" s="345">
        <v>0.2</v>
      </c>
      <c r="L8" s="343">
        <v>55.886404588914573</v>
      </c>
      <c r="M8" s="343">
        <v>53.583202803592698</v>
      </c>
      <c r="N8" s="343">
        <v>51.464257161096604</v>
      </c>
      <c r="O8" s="343">
        <v>49.508307337254067</v>
      </c>
      <c r="P8" s="343">
        <v>47.697242685548041</v>
      </c>
    </row>
    <row r="9" spans="1:16" s="318" customFormat="1" ht="10.199999999999999" x14ac:dyDescent="0.2">
      <c r="A9" s="315"/>
      <c r="B9" s="314" t="s">
        <v>531</v>
      </c>
      <c r="C9" s="338">
        <v>1.4999999999999999E-2</v>
      </c>
      <c r="D9" s="334"/>
      <c r="E9" s="334"/>
      <c r="F9" s="334"/>
      <c r="G9" s="328" t="s">
        <v>499</v>
      </c>
      <c r="H9" s="316"/>
      <c r="I9" s="317"/>
      <c r="K9" s="345">
        <v>0.21</v>
      </c>
      <c r="L9" s="343">
        <v>52.817354490973926</v>
      </c>
      <c r="M9" s="343">
        <v>50.636883686463712</v>
      </c>
      <c r="N9" s="343">
        <v>48.630850546314335</v>
      </c>
      <c r="O9" s="343">
        <v>46.77912764771493</v>
      </c>
      <c r="P9" s="343">
        <v>45.06456940827097</v>
      </c>
    </row>
    <row r="10" spans="1:16" s="318" customFormat="1" ht="10.199999999999999" x14ac:dyDescent="0.2">
      <c r="A10" s="315"/>
      <c r="B10" s="314" t="s">
        <v>241</v>
      </c>
      <c r="C10" s="340">
        <v>25</v>
      </c>
      <c r="D10" s="335">
        <f>AVERAGE(Analysis!BO25:BQ25)</f>
        <v>19.295008270504965</v>
      </c>
      <c r="E10" s="335">
        <f>AVERAGE(Analysis!BL25:BQ25)</f>
        <v>21.593097465396923</v>
      </c>
      <c r="F10" s="335">
        <f>AVERAGE(Analysis!BF25:BQ25)</f>
        <v>25.933959820589109</v>
      </c>
      <c r="G10" s="328" t="s">
        <v>498</v>
      </c>
      <c r="H10" s="316"/>
      <c r="I10" s="317"/>
      <c r="K10" s="345">
        <v>0.22</v>
      </c>
      <c r="L10" s="343">
        <v>49.989137232728609</v>
      </c>
      <c r="M10" s="343">
        <v>47.922358875064134</v>
      </c>
      <c r="N10" s="343">
        <v>46.020922786012861</v>
      </c>
      <c r="O10" s="343">
        <v>44.265751011503994</v>
      </c>
      <c r="P10" s="343">
        <v>42.640591961032797</v>
      </c>
    </row>
    <row r="11" spans="1:16" s="318" customFormat="1" ht="10.199999999999999" x14ac:dyDescent="0.2">
      <c r="A11" s="315"/>
      <c r="B11" s="314" t="s">
        <v>246</v>
      </c>
      <c r="C11" s="341">
        <v>0.22</v>
      </c>
      <c r="D11" s="336">
        <f>SUM(Analysis!BO33:BQ33)/SUM(Analysis!BO31:BQ31)</f>
        <v>0.19105082149753147</v>
      </c>
      <c r="E11" s="336">
        <f>SUM(Analysis!BL33:BQ33)/SUM(Analysis!BL31:BQ31)</f>
        <v>0.19908796068833978</v>
      </c>
      <c r="F11" s="336">
        <f>SUM(Analysis!BF33:BQ33)/SUM(Analysis!BF31:BQ31)</f>
        <v>0.21244230928924182</v>
      </c>
      <c r="G11" s="328" t="s">
        <v>498</v>
      </c>
      <c r="H11" s="316"/>
      <c r="I11" s="317"/>
      <c r="K11" s="314"/>
      <c r="L11" s="330"/>
      <c r="M11" s="330"/>
      <c r="N11" s="316"/>
      <c r="O11" s="316"/>
      <c r="P11" s="316"/>
    </row>
    <row r="12" spans="1:16" s="318" customFormat="1" ht="10.199999999999999" x14ac:dyDescent="0.2">
      <c r="A12" s="315"/>
      <c r="B12" s="314" t="s">
        <v>243</v>
      </c>
      <c r="C12" s="342">
        <v>0.42</v>
      </c>
      <c r="D12" s="337">
        <f>AVERAGE(Analysis!BO49:BQ49)</f>
        <v>0.54011278165449006</v>
      </c>
      <c r="E12" s="337">
        <f>AVERAGE(Analysis!BL49:BQ49)</f>
        <v>0.48528871554295794</v>
      </c>
      <c r="F12" s="337">
        <f>AVERAGE(Analysis!BF49:BQ49)</f>
        <v>0.42453050385918134</v>
      </c>
      <c r="G12" s="328" t="s">
        <v>499</v>
      </c>
      <c r="H12" s="316"/>
      <c r="I12" s="317"/>
      <c r="K12" s="314" t="s">
        <v>534</v>
      </c>
      <c r="L12" s="330"/>
      <c r="M12" s="330"/>
      <c r="N12" s="316"/>
      <c r="O12" s="316"/>
      <c r="P12" s="316"/>
    </row>
    <row r="13" spans="1:16" s="318" customFormat="1" ht="10.199999999999999" x14ac:dyDescent="0.2">
      <c r="A13" s="315"/>
      <c r="B13" s="314"/>
      <c r="C13" s="316"/>
      <c r="D13" s="316"/>
      <c r="E13" s="316"/>
      <c r="F13" s="316"/>
      <c r="G13" s="316"/>
      <c r="H13" s="316"/>
      <c r="I13" s="317"/>
      <c r="K13" s="314"/>
      <c r="L13" s="330"/>
      <c r="M13" s="330"/>
      <c r="N13" s="316"/>
      <c r="O13" s="316"/>
      <c r="P13" s="316"/>
    </row>
    <row r="14" spans="1:16" s="318" customFormat="1" ht="12" x14ac:dyDescent="0.25">
      <c r="A14" s="315"/>
      <c r="B14" s="319" t="s">
        <v>501</v>
      </c>
      <c r="C14" s="329">
        <v>2020</v>
      </c>
      <c r="D14" s="329" t="s">
        <v>537</v>
      </c>
      <c r="E14" s="329">
        <v>2021</v>
      </c>
      <c r="F14" s="329" t="s">
        <v>538</v>
      </c>
      <c r="G14" s="316"/>
      <c r="H14" s="316"/>
      <c r="I14" s="317"/>
      <c r="K14" s="344">
        <f>F20</f>
        <v>3.1655812688869349</v>
      </c>
      <c r="L14" s="346">
        <v>23</v>
      </c>
      <c r="M14" s="346">
        <v>24</v>
      </c>
      <c r="N14" s="346">
        <v>25</v>
      </c>
      <c r="O14" s="346">
        <v>26</v>
      </c>
      <c r="P14" s="346">
        <v>27</v>
      </c>
    </row>
    <row r="15" spans="1:16" s="318" customFormat="1" ht="10.199999999999999" x14ac:dyDescent="0.2">
      <c r="A15" s="315"/>
      <c r="B15" s="314"/>
      <c r="C15" s="316"/>
      <c r="D15" s="316"/>
      <c r="E15" s="316"/>
      <c r="F15" s="316"/>
      <c r="G15" s="316"/>
      <c r="H15" s="316"/>
      <c r="I15" s="317"/>
      <c r="K15" s="345">
        <v>0.18</v>
      </c>
      <c r="L15" s="330">
        <f t="dataTable" ref="L15:P19" dt2D="1" dtr="1" r1="C10" r2="C6" ca="1"/>
        <v>5.5153477080213706</v>
      </c>
      <c r="M15" s="330">
        <v>4.9836191281301216</v>
      </c>
      <c r="N15" s="330">
        <v>4.4944288346301811</v>
      </c>
      <c r="O15" s="330">
        <v>4.0428685637071577</v>
      </c>
      <c r="P15" s="330">
        <v>3.62475720174139</v>
      </c>
    </row>
    <row r="16" spans="1:16" s="318" customFormat="1" ht="10.199999999999999" x14ac:dyDescent="0.2">
      <c r="A16" s="315"/>
      <c r="B16" s="314" t="s">
        <v>508</v>
      </c>
      <c r="C16" s="330">
        <f>'Model -&gt;'!H10/1000000</f>
        <v>32.90442903853917</v>
      </c>
      <c r="D16" s="330">
        <f>'P&amp;L'!BU9*12/1000000</f>
        <v>39.332359657430409</v>
      </c>
      <c r="E16" s="330">
        <f>'Model -&gt;'!I10/1000000</f>
        <v>46.507769708274886</v>
      </c>
      <c r="F16" s="330">
        <f>'P&amp;L'!CG9*12/1000000</f>
        <v>51.464257161096604</v>
      </c>
      <c r="G16" s="316"/>
      <c r="H16" s="316"/>
      <c r="I16" s="317"/>
      <c r="K16" s="345">
        <v>0.19</v>
      </c>
      <c r="L16" s="330">
        <v>4.7651352300022705</v>
      </c>
      <c r="M16" s="330">
        <v>4.2630474464250598</v>
      </c>
      <c r="N16" s="330">
        <v>3.8011266855340264</v>
      </c>
      <c r="O16" s="330">
        <v>3.3747382908653747</v>
      </c>
      <c r="P16" s="330">
        <v>2.9799342217277363</v>
      </c>
    </row>
    <row r="17" spans="1:16" s="318" customFormat="1" ht="10.199999999999999" x14ac:dyDescent="0.2">
      <c r="A17" s="315"/>
      <c r="B17" s="314" t="s">
        <v>502</v>
      </c>
      <c r="C17" s="331">
        <f>'Model -&gt;'!H11</f>
        <v>0.31739115751756469</v>
      </c>
      <c r="D17" s="331">
        <f>D16*1000000/(12*'P&amp;L'!BI9)-1</f>
        <v>0.58320005614997217</v>
      </c>
      <c r="E17" s="331">
        <f>'Model -&gt;'!I11</f>
        <v>0.41341974522040381</v>
      </c>
      <c r="F17" s="331">
        <f>F16/D16-1</f>
        <v>0.3084457075377709</v>
      </c>
      <c r="G17" s="316"/>
      <c r="H17" s="316"/>
      <c r="I17" s="317"/>
      <c r="K17" s="345">
        <v>0.2</v>
      </c>
      <c r="L17" s="330">
        <v>4.0770626344432124</v>
      </c>
      <c r="M17" s="330">
        <v>3.6023327565493175</v>
      </c>
      <c r="N17" s="330">
        <v>3.1655812688869349</v>
      </c>
      <c r="O17" s="330">
        <v>2.7624260495062769</v>
      </c>
      <c r="P17" s="330">
        <v>2.3891341797093655</v>
      </c>
    </row>
    <row r="18" spans="1:16" s="318" customFormat="1" ht="10.199999999999999" x14ac:dyDescent="0.2">
      <c r="A18" s="315"/>
      <c r="B18" s="314" t="s">
        <v>36</v>
      </c>
      <c r="C18" s="330">
        <f>'Model -&gt;'!H15/1000000</f>
        <v>14.888717435386448</v>
      </c>
      <c r="D18" s="330">
        <f>'P&amp;L'!BU13*12/1000000</f>
        <v>16.519591056120777</v>
      </c>
      <c r="E18" s="330">
        <f>'Model -&gt;'!I15/1000000</f>
        <v>19.533263277475459</v>
      </c>
      <c r="F18" s="330">
        <f>'P&amp;L'!CG13*12/1000000</f>
        <v>21.614988007660578</v>
      </c>
      <c r="G18" s="316"/>
      <c r="H18" s="316"/>
      <c r="I18" s="317"/>
      <c r="K18" s="345">
        <v>0.21</v>
      </c>
      <c r="L18" s="330">
        <v>3.4444781220783938</v>
      </c>
      <c r="M18" s="330">
        <v>2.9950452302783028</v>
      </c>
      <c r="N18" s="330">
        <v>2.581566969822215</v>
      </c>
      <c r="O18" s="330">
        <v>2.1998947294012225</v>
      </c>
      <c r="P18" s="330">
        <v>1.8464945067891811</v>
      </c>
    </row>
    <row r="19" spans="1:16" s="318" customFormat="1" ht="10.199999999999999" x14ac:dyDescent="0.2">
      <c r="A19" s="315"/>
      <c r="B19" s="314" t="s">
        <v>503</v>
      </c>
      <c r="C19" s="331">
        <f>'Model -&gt;'!H16</f>
        <v>0.45248368898752517</v>
      </c>
      <c r="D19" s="331">
        <f>'P&amp;L'!BU14</f>
        <v>0.4200000000000001</v>
      </c>
      <c r="E19" s="331">
        <f>'Model -&gt;'!I16</f>
        <v>0.4200000000000001</v>
      </c>
      <c r="F19" s="331">
        <f>'P&amp;L'!CG14</f>
        <v>0.42000000000000015</v>
      </c>
      <c r="G19" s="316"/>
      <c r="H19" s="316"/>
      <c r="I19" s="317"/>
      <c r="K19" s="345">
        <v>0.22</v>
      </c>
      <c r="L19" s="330">
        <v>2.8615334394974958</v>
      </c>
      <c r="M19" s="330">
        <v>2.4355345350069433</v>
      </c>
      <c r="N19" s="330">
        <v>2.0436155428756351</v>
      </c>
      <c r="O19" s="330">
        <v>1.6818441655236629</v>
      </c>
      <c r="P19" s="330">
        <v>1.346870667975538</v>
      </c>
    </row>
    <row r="20" spans="1:16" s="318" customFormat="1" ht="10.199999999999999" x14ac:dyDescent="0.2">
      <c r="A20" s="315"/>
      <c r="B20" s="314" t="s">
        <v>115</v>
      </c>
      <c r="C20" s="330">
        <f>'Model -&gt;'!H32/1000000</f>
        <v>3.3797072769336571</v>
      </c>
      <c r="D20" s="330">
        <f>'P&amp;L'!BU29*12/1000000</f>
        <v>1.8571061299367846</v>
      </c>
      <c r="E20" s="330">
        <f>'Model -&gt;'!I32/1000000</f>
        <v>2.7056049204536596</v>
      </c>
      <c r="F20" s="330">
        <f>'P&amp;L'!CG29*12/1000000</f>
        <v>3.1655812688869349</v>
      </c>
      <c r="G20" s="316"/>
      <c r="H20" s="316"/>
      <c r="I20" s="317"/>
      <c r="K20" s="314"/>
      <c r="L20" s="330"/>
      <c r="M20" s="330"/>
      <c r="N20" s="316"/>
      <c r="O20" s="316"/>
      <c r="P20" s="316"/>
    </row>
    <row r="21" spans="1:16" s="318" customFormat="1" ht="10.199999999999999" x14ac:dyDescent="0.2">
      <c r="A21" s="315"/>
      <c r="B21" s="314" t="s">
        <v>504</v>
      </c>
      <c r="C21" s="331">
        <f>'Model -&gt;'!H33</f>
        <v>0.1027128376236278</v>
      </c>
      <c r="D21" s="331">
        <f>D20/D16</f>
        <v>4.7215731426018127E-2</v>
      </c>
      <c r="E21" s="331">
        <f>'Model -&gt;'!I33</f>
        <v>5.8175331507506485E-2</v>
      </c>
      <c r="F21" s="331">
        <f>F20/F16</f>
        <v>6.1510287790180987E-2</v>
      </c>
      <c r="G21" s="316"/>
      <c r="H21" s="316"/>
      <c r="I21" s="317"/>
      <c r="K21" s="314" t="s">
        <v>535</v>
      </c>
      <c r="L21" s="330"/>
      <c r="M21" s="330"/>
      <c r="N21" s="316"/>
      <c r="O21" s="316"/>
      <c r="P21" s="316"/>
    </row>
    <row r="22" spans="1:16" s="318" customFormat="1" ht="10.199999999999999" x14ac:dyDescent="0.2">
      <c r="A22" s="315"/>
      <c r="B22" s="314"/>
      <c r="C22" s="316"/>
      <c r="D22" s="316"/>
      <c r="E22" s="316"/>
      <c r="F22" s="316"/>
      <c r="G22" s="316"/>
      <c r="H22" s="316"/>
      <c r="I22" s="317"/>
      <c r="K22" s="314"/>
      <c r="L22" s="330"/>
      <c r="M22" s="330"/>
      <c r="N22" s="316"/>
      <c r="O22" s="316"/>
      <c r="P22" s="316"/>
    </row>
    <row r="23" spans="1:16" s="318" customFormat="1" ht="10.199999999999999" x14ac:dyDescent="0.2">
      <c r="A23" s="315"/>
      <c r="B23" s="314" t="s">
        <v>506</v>
      </c>
      <c r="C23" s="330">
        <f>'Model -&gt;'!H36/1000000</f>
        <v>2.4595208417965004</v>
      </c>
      <c r="D23" s="330"/>
      <c r="E23" s="330">
        <f>'Model -&gt;'!I36/1000000</f>
        <v>2.6298945976727475</v>
      </c>
      <c r="F23" s="330"/>
      <c r="G23" s="316"/>
      <c r="H23" s="316"/>
      <c r="I23" s="317"/>
      <c r="K23" s="344">
        <f>F16</f>
        <v>51.464257161096604</v>
      </c>
      <c r="L23" s="374">
        <v>0.9</v>
      </c>
      <c r="M23" s="374">
        <v>1</v>
      </c>
      <c r="N23" s="374">
        <v>1.1000000000000001</v>
      </c>
      <c r="O23" s="374">
        <v>1.2</v>
      </c>
      <c r="P23" s="374">
        <v>1.3</v>
      </c>
    </row>
    <row r="24" spans="1:16" s="318" customFormat="1" ht="10.199999999999999" x14ac:dyDescent="0.2">
      <c r="A24" s="315"/>
      <c r="B24" s="314" t="s">
        <v>507</v>
      </c>
      <c r="C24" s="330">
        <f>'Model -&gt;'!H37/1000000</f>
        <v>2.7926511517965009</v>
      </c>
      <c r="D24" s="330"/>
      <c r="E24" s="330">
        <f>'Model -&gt;'!I37/1000000</f>
        <v>5.4225457494692488</v>
      </c>
      <c r="F24" s="330"/>
      <c r="G24" s="316"/>
      <c r="H24" s="316"/>
      <c r="I24" s="317"/>
      <c r="K24" s="345">
        <v>0.18</v>
      </c>
      <c r="L24" s="343">
        <f t="dataTable" ref="L24:P28" dt2D="1" dtr="1" r1="C7" r2="C6"/>
        <v>47.381973117036999</v>
      </c>
      <c r="M24" s="343">
        <v>52.646636796707746</v>
      </c>
      <c r="N24" s="343">
        <v>57.911300476378528</v>
      </c>
      <c r="O24" s="343">
        <v>63.175964156049297</v>
      </c>
      <c r="P24" s="343">
        <v>68.440627835720065</v>
      </c>
    </row>
    <row r="25" spans="1:16" s="318" customFormat="1" ht="10.199999999999999" x14ac:dyDescent="0.2">
      <c r="A25" s="315"/>
      <c r="B25" s="314" t="s">
        <v>505</v>
      </c>
      <c r="C25" s="330">
        <f>'Model -&gt;'!H40/1000000</f>
        <v>-1.0411443651371566</v>
      </c>
      <c r="D25" s="330"/>
      <c r="E25" s="330">
        <f>'Model -&gt;'!I40/1000000</f>
        <v>-7.5710322780912637E-2</v>
      </c>
      <c r="F25" s="330"/>
      <c r="G25" s="316"/>
      <c r="H25" s="316"/>
      <c r="I25" s="317"/>
      <c r="K25" s="345">
        <v>0.19</v>
      </c>
      <c r="L25" s="343">
        <v>44.62991377908461</v>
      </c>
      <c r="M25" s="343">
        <v>49.588793087871771</v>
      </c>
      <c r="N25" s="343">
        <v>54.547672396658974</v>
      </c>
      <c r="O25" s="343">
        <v>59.506551705446164</v>
      </c>
      <c r="P25" s="343">
        <v>64.465431014233317</v>
      </c>
    </row>
    <row r="26" spans="1:16" s="318" customFormat="1" ht="10.199999999999999" x14ac:dyDescent="0.2">
      <c r="A26" s="315"/>
      <c r="B26" s="314"/>
      <c r="C26" s="330"/>
      <c r="D26" s="330"/>
      <c r="E26" s="316"/>
      <c r="F26" s="316"/>
      <c r="G26" s="316"/>
      <c r="H26" s="316"/>
      <c r="I26" s="317"/>
      <c r="K26" s="345">
        <v>0.2</v>
      </c>
      <c r="L26" s="343">
        <v>42.107119495442689</v>
      </c>
      <c r="M26" s="343">
        <v>46.785688328269657</v>
      </c>
      <c r="N26" s="343">
        <v>51.464257161096604</v>
      </c>
      <c r="O26" s="343">
        <v>56.142825993923573</v>
      </c>
      <c r="P26" s="343">
        <v>60.82139482675052</v>
      </c>
    </row>
    <row r="27" spans="1:16" s="318" customFormat="1" ht="10.199999999999999" customHeight="1" x14ac:dyDescent="0.2">
      <c r="A27" s="315"/>
      <c r="B27" s="314"/>
      <c r="C27" s="330"/>
      <c r="D27" s="330"/>
      <c r="E27" s="316"/>
      <c r="F27" s="316"/>
      <c r="G27" s="316"/>
      <c r="H27" s="316"/>
      <c r="I27" s="317"/>
      <c r="K27" s="345">
        <v>0.21</v>
      </c>
      <c r="L27" s="343">
        <v>39.788877719711721</v>
      </c>
      <c r="M27" s="343">
        <v>44.209864133012992</v>
      </c>
      <c r="N27" s="343">
        <v>48.630850546314335</v>
      </c>
      <c r="O27" s="343">
        <v>53.051836959615635</v>
      </c>
      <c r="P27" s="343">
        <v>57.472823372916935</v>
      </c>
    </row>
    <row r="28" spans="1:16" s="318" customFormat="1" ht="10.199999999999999" customHeight="1" x14ac:dyDescent="0.2">
      <c r="A28" s="315"/>
      <c r="B28" s="314"/>
      <c r="C28" s="330"/>
      <c r="D28" s="330"/>
      <c r="E28" s="316"/>
      <c r="F28" s="316"/>
      <c r="G28" s="316"/>
      <c r="H28" s="316"/>
      <c r="I28" s="317"/>
      <c r="K28" s="345">
        <v>0.22</v>
      </c>
      <c r="L28" s="343">
        <v>37.653482279465067</v>
      </c>
      <c r="M28" s="343">
        <v>41.837202532738949</v>
      </c>
      <c r="N28" s="343">
        <v>46.020922786012861</v>
      </c>
      <c r="O28" s="343">
        <v>50.204643039286729</v>
      </c>
      <c r="P28" s="343">
        <v>54.388363292560634</v>
      </c>
    </row>
    <row r="29" spans="1:16" ht="10.199999999999999" customHeight="1" thickBot="1" x14ac:dyDescent="0.3">
      <c r="A29" s="280"/>
      <c r="B29" s="281"/>
      <c r="C29" s="282"/>
      <c r="D29" s="282"/>
      <c r="E29" s="282"/>
      <c r="F29" s="282"/>
      <c r="G29" s="282"/>
      <c r="H29" s="282"/>
      <c r="I29" s="283"/>
      <c r="K29" s="314"/>
      <c r="L29" s="330"/>
      <c r="M29" s="330"/>
      <c r="N29" s="316"/>
      <c r="O29" s="316"/>
      <c r="P29" s="316"/>
    </row>
    <row r="30" spans="1:16" ht="10.199999999999999" customHeight="1" x14ac:dyDescent="0.25">
      <c r="K30" s="314" t="s">
        <v>536</v>
      </c>
      <c r="L30" s="330"/>
      <c r="M30" s="330"/>
      <c r="N30" s="316"/>
      <c r="O30" s="316"/>
      <c r="P30" s="316"/>
    </row>
    <row r="31" spans="1:16" ht="10.199999999999999" customHeight="1" x14ac:dyDescent="0.25">
      <c r="K31" s="314"/>
      <c r="L31" s="330"/>
      <c r="M31" s="330"/>
      <c r="N31" s="316"/>
      <c r="O31" s="316"/>
      <c r="P31" s="316"/>
    </row>
    <row r="32" spans="1:16" ht="10.199999999999999" customHeight="1" x14ac:dyDescent="0.25">
      <c r="K32" s="344">
        <f>E24</f>
        <v>5.4225457494692488</v>
      </c>
      <c r="L32" s="346">
        <v>15</v>
      </c>
      <c r="M32" s="346">
        <v>20</v>
      </c>
      <c r="N32" s="346">
        <v>25</v>
      </c>
      <c r="O32" s="346">
        <v>30</v>
      </c>
      <c r="P32" s="346">
        <v>35</v>
      </c>
    </row>
    <row r="33" spans="11:16" ht="10.199999999999999" customHeight="1" x14ac:dyDescent="0.25">
      <c r="K33" s="375">
        <v>0.38</v>
      </c>
      <c r="L33" s="330">
        <f t="dataTable" ref="L33:P37" dt2D="1" dtr="1" r1="C10" r2="C12" ca="1"/>
        <v>8.7067363126823434</v>
      </c>
      <c r="M33" s="330">
        <v>5.0395604605038073</v>
      </c>
      <c r="N33" s="330">
        <v>2.839254949196687</v>
      </c>
      <c r="O33" s="330">
        <v>1.372384608325274</v>
      </c>
      <c r="P33" s="330">
        <v>0.32462007913140672</v>
      </c>
    </row>
    <row r="34" spans="11:16" ht="10.199999999999999" customHeight="1" x14ac:dyDescent="0.25">
      <c r="K34" s="375">
        <v>0.4</v>
      </c>
      <c r="L34" s="330">
        <v>10.711799036203661</v>
      </c>
      <c r="M34" s="330">
        <v>6.5987373569094787</v>
      </c>
      <c r="N34" s="330">
        <v>4.1309003493329701</v>
      </c>
      <c r="O34" s="330">
        <v>2.4856756776152973</v>
      </c>
      <c r="P34" s="330">
        <v>1.31051519781696</v>
      </c>
    </row>
    <row r="35" spans="11:16" ht="10.199999999999999" customHeight="1" x14ac:dyDescent="0.25">
      <c r="K35" s="375">
        <v>0.42</v>
      </c>
      <c r="L35" s="330">
        <v>12.716861759724971</v>
      </c>
      <c r="M35" s="330">
        <v>8.1579142533151447</v>
      </c>
      <c r="N35" s="330">
        <v>5.4225457494692488</v>
      </c>
      <c r="O35" s="330">
        <v>3.5989667469053175</v>
      </c>
      <c r="P35" s="330">
        <v>2.2964103165025129</v>
      </c>
    </row>
    <row r="36" spans="11:16" ht="10.199999999999999" customHeight="1" x14ac:dyDescent="0.25">
      <c r="K36" s="375">
        <v>0.44</v>
      </c>
      <c r="L36" s="330">
        <v>14.721924483246285</v>
      </c>
      <c r="M36" s="330">
        <v>9.7170911497208152</v>
      </c>
      <c r="N36" s="330">
        <v>6.7141911496055311</v>
      </c>
      <c r="O36" s="330">
        <v>4.7122578161953417</v>
      </c>
      <c r="P36" s="330">
        <v>3.2823054351880678</v>
      </c>
    </row>
    <row r="37" spans="11:16" ht="10.199999999999999" customHeight="1" x14ac:dyDescent="0.25">
      <c r="K37" s="375">
        <v>0.46</v>
      </c>
      <c r="L37" s="330">
        <v>16.7269872067676</v>
      </c>
      <c r="M37" s="330">
        <v>11.276268046126486</v>
      </c>
      <c r="N37" s="330">
        <v>8.0058365497418134</v>
      </c>
      <c r="O37" s="330">
        <v>5.8255488854853672</v>
      </c>
      <c r="P37" s="330">
        <v>4.2682005538736201</v>
      </c>
    </row>
    <row r="38" spans="11:16" ht="10.199999999999999" customHeight="1" x14ac:dyDescent="0.25">
      <c r="K38" s="314"/>
      <c r="L38" s="330"/>
      <c r="M38" s="330"/>
      <c r="N38" s="316"/>
      <c r="O38" s="316"/>
      <c r="P38" s="316"/>
    </row>
    <row r="39" spans="11:16" ht="10.199999999999999" customHeight="1" x14ac:dyDescent="0.25"/>
    <row r="40" spans="11:16" ht="10.199999999999999" customHeight="1" x14ac:dyDescent="0.25"/>
    <row r="41" spans="11:16" ht="10.199999999999999" customHeight="1" x14ac:dyDescent="0.25"/>
    <row r="42" spans="11:16" ht="10.199999999999999" customHeight="1" x14ac:dyDescent="0.25"/>
    <row r="43" spans="11:16" ht="10.199999999999999" customHeight="1" x14ac:dyDescent="0.25"/>
    <row r="44" spans="11:16" ht="10.199999999999999" customHeight="1" x14ac:dyDescent="0.25"/>
    <row r="45" spans="11:16" ht="10.199999999999999" customHeight="1" x14ac:dyDescent="0.25"/>
    <row r="46" spans="11:16" ht="10.199999999999999" customHeight="1" x14ac:dyDescent="0.25"/>
    <row r="47" spans="11:16" ht="10.199999999999999" customHeight="1" x14ac:dyDescent="0.25"/>
    <row r="48" spans="11:16" ht="10.199999999999999" customHeight="1" x14ac:dyDescent="0.25"/>
    <row r="49" ht="10.199999999999999" customHeight="1" x14ac:dyDescent="0.25"/>
    <row r="50" ht="10.199999999999999" customHeight="1" x14ac:dyDescent="0.25"/>
    <row r="51" ht="10.199999999999999" customHeight="1" x14ac:dyDescent="0.25"/>
    <row r="52" ht="10.199999999999999" customHeight="1" x14ac:dyDescent="0.25"/>
    <row r="53" ht="10.199999999999999" customHeight="1" x14ac:dyDescent="0.25"/>
    <row r="54" ht="10.199999999999999" customHeight="1" x14ac:dyDescent="0.25"/>
    <row r="55" ht="10.199999999999999" customHeight="1" x14ac:dyDescent="0.25"/>
    <row r="56" ht="10.199999999999999" customHeight="1" x14ac:dyDescent="0.25"/>
    <row r="57" ht="10.199999999999999" customHeight="1" x14ac:dyDescent="0.25"/>
    <row r="58" ht="10.199999999999999" customHeight="1" x14ac:dyDescent="0.25"/>
    <row r="59" ht="10.199999999999999" customHeight="1" x14ac:dyDescent="0.25"/>
    <row r="60" ht="10.199999999999999" customHeight="1" x14ac:dyDescent="0.25"/>
    <row r="61" ht="10.199999999999999" customHeight="1" x14ac:dyDescent="0.25"/>
    <row r="62" ht="10.199999999999999" customHeight="1" x14ac:dyDescent="0.25"/>
    <row r="63" ht="10.199999999999999" customHeight="1" x14ac:dyDescent="0.25"/>
    <row r="64" ht="10.199999999999999" customHeight="1" x14ac:dyDescent="0.25"/>
    <row r="65" ht="10.199999999999999" customHeight="1" x14ac:dyDescent="0.25"/>
    <row r="66" ht="10.199999999999999" customHeight="1" x14ac:dyDescent="0.25"/>
    <row r="67" ht="10.199999999999999" customHeight="1" x14ac:dyDescent="0.25"/>
    <row r="68" ht="10.199999999999999" customHeight="1" x14ac:dyDescent="0.25"/>
    <row r="69" ht="10.199999999999999" customHeight="1" x14ac:dyDescent="0.25"/>
    <row r="70" ht="10.199999999999999" customHeight="1" x14ac:dyDescent="0.25"/>
    <row r="71" ht="10.199999999999999" customHeight="1" x14ac:dyDescent="0.25"/>
    <row r="72" ht="10.199999999999999" customHeight="1" x14ac:dyDescent="0.25"/>
    <row r="73" ht="10.199999999999999" customHeight="1" x14ac:dyDescent="0.25"/>
    <row r="74" ht="10.199999999999999" customHeight="1" x14ac:dyDescent="0.25"/>
    <row r="75" ht="10.199999999999999" customHeight="1" x14ac:dyDescent="0.25"/>
    <row r="76" ht="10.199999999999999" customHeight="1" x14ac:dyDescent="0.25"/>
    <row r="77" ht="10.199999999999999" customHeight="1" x14ac:dyDescent="0.25"/>
    <row r="78" ht="10.199999999999999" customHeight="1" x14ac:dyDescent="0.25"/>
    <row r="79" ht="10.199999999999999" customHeight="1" x14ac:dyDescent="0.25"/>
    <row r="80" ht="10.199999999999999" customHeight="1" x14ac:dyDescent="0.25"/>
    <row r="81" ht="10.199999999999999" customHeight="1" x14ac:dyDescent="0.25"/>
    <row r="82" ht="10.199999999999999" customHeight="1" x14ac:dyDescent="0.25"/>
    <row r="83" ht="10.199999999999999" customHeight="1" x14ac:dyDescent="0.25"/>
    <row r="84" ht="10.199999999999999" customHeight="1" x14ac:dyDescent="0.25"/>
    <row r="85" ht="10.199999999999999" customHeight="1" x14ac:dyDescent="0.25"/>
    <row r="86" ht="10.199999999999999" customHeight="1" x14ac:dyDescent="0.25"/>
    <row r="87" ht="10.199999999999999" customHeight="1" x14ac:dyDescent="0.25"/>
    <row r="88" ht="10.199999999999999" customHeight="1" x14ac:dyDescent="0.25"/>
    <row r="89" ht="10.199999999999999" customHeight="1" x14ac:dyDescent="0.25"/>
    <row r="90" ht="10.199999999999999" customHeight="1" x14ac:dyDescent="0.25"/>
    <row r="91" ht="10.199999999999999" customHeight="1" x14ac:dyDescent="0.25"/>
    <row r="92" ht="10.199999999999999" customHeight="1" x14ac:dyDescent="0.25"/>
    <row r="93" ht="10.199999999999999" customHeight="1" x14ac:dyDescent="0.25"/>
    <row r="94" ht="10.199999999999999" customHeight="1" x14ac:dyDescent="0.25"/>
    <row r="95" ht="10.199999999999999" customHeight="1" x14ac:dyDescent="0.25"/>
    <row r="96" ht="10.199999999999999" customHeight="1" x14ac:dyDescent="0.25"/>
    <row r="97" ht="10.199999999999999" customHeight="1" x14ac:dyDescent="0.25"/>
  </sheetData>
  <conditionalFormatting sqref="L33:P37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24:P28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15:P19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6:P10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9" orientation="portrait" r:id="rId1"/>
  <ignoredErrors>
    <ignoredError sqref="E21" formula="1"/>
  </ignoredError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3" tint="0.79998168889431442"/>
  </sheetPr>
  <dimension ref="A1:N116"/>
  <sheetViews>
    <sheetView workbookViewId="0"/>
  </sheetViews>
  <sheetFormatPr defaultColWidth="9" defaultRowHeight="14.4" x14ac:dyDescent="0.3"/>
  <cols>
    <col min="1" max="1" width="37.88671875" style="2" customWidth="1"/>
    <col min="2" max="13" width="12" style="2" customWidth="1"/>
    <col min="14" max="14" width="13.6640625" style="2" customWidth="1"/>
    <col min="15" max="16384" width="9" style="2"/>
  </cols>
  <sheetData>
    <row r="1" spans="1:14" ht="17.399999999999999" x14ac:dyDescent="0.3">
      <c r="A1" s="9" t="s">
        <v>1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</row>
    <row r="2" spans="1:14" ht="17.399999999999999" x14ac:dyDescent="0.3">
      <c r="A2" s="9" t="s">
        <v>2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3">
      <c r="A3" s="11" t="s">
        <v>192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</row>
    <row r="5" spans="1:14" x14ac:dyDescent="0.3">
      <c r="A5" s="3"/>
      <c r="B5" s="13">
        <v>43466</v>
      </c>
      <c r="C5" s="13">
        <v>43497</v>
      </c>
      <c r="D5" s="13">
        <v>43525</v>
      </c>
      <c r="E5" s="13">
        <v>43556</v>
      </c>
      <c r="F5" s="13">
        <v>43586</v>
      </c>
      <c r="G5" s="13">
        <v>43617</v>
      </c>
      <c r="H5" s="13">
        <v>43647</v>
      </c>
      <c r="I5" s="13">
        <v>43678</v>
      </c>
      <c r="J5" s="13">
        <v>43709</v>
      </c>
      <c r="K5" s="13">
        <v>43739</v>
      </c>
      <c r="L5" s="13">
        <v>43770</v>
      </c>
      <c r="M5" s="13">
        <v>43800</v>
      </c>
      <c r="N5" s="4">
        <v>2019</v>
      </c>
    </row>
    <row r="6" spans="1:14" x14ac:dyDescent="0.3">
      <c r="A6" s="5" t="s">
        <v>17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</row>
    <row r="7" spans="1:14" x14ac:dyDescent="0.3">
      <c r="A7" s="5" t="s">
        <v>18</v>
      </c>
      <c r="B7" s="7">
        <f>2361646.36</f>
        <v>2361646.36</v>
      </c>
      <c r="C7" s="7">
        <f>2080114.98</f>
        <v>2080114.98</v>
      </c>
      <c r="D7" s="7">
        <f>2298309.13</f>
        <v>2298309.13</v>
      </c>
      <c r="E7" s="7">
        <f>2332928.01</f>
        <v>2332928.0099999998</v>
      </c>
      <c r="F7" s="7">
        <f>2479489.39</f>
        <v>2479489.39</v>
      </c>
      <c r="G7" s="7">
        <f>2214105.55</f>
        <v>2214105.5499999998</v>
      </c>
      <c r="H7" s="7">
        <f>2577661.09</f>
        <v>2577661.09</v>
      </c>
      <c r="I7" s="7">
        <f>2613482.49</f>
        <v>2613482.4900000002</v>
      </c>
      <c r="J7" s="7">
        <f>2205283.74</f>
        <v>2205283.7400000002</v>
      </c>
      <c r="K7" s="7">
        <f>2827126.13</f>
        <v>2827126.13</v>
      </c>
      <c r="L7" s="7">
        <f>2058742.23</f>
        <v>2058742.23</v>
      </c>
      <c r="M7" s="7">
        <f>2383622.9</f>
        <v>2383622.9</v>
      </c>
      <c r="N7" s="7">
        <f>(((((((((((B7)+(C7))+(D7))+(E7))+(F7))+(G7))+(H7))+(I7))+(J7))+(K7))+(L7))+(M7)</f>
        <v>28432512</v>
      </c>
    </row>
    <row r="8" spans="1:14" x14ac:dyDescent="0.3">
      <c r="A8" s="5" t="s">
        <v>19</v>
      </c>
      <c r="B8" s="7">
        <f>-307329.12</f>
        <v>-307329.12</v>
      </c>
      <c r="C8" s="7">
        <f>-201444.94</f>
        <v>-201444.94</v>
      </c>
      <c r="D8" s="7">
        <f>-221840.73</f>
        <v>-221840.73</v>
      </c>
      <c r="E8" s="7">
        <f>-239255.76</f>
        <v>-239255.76</v>
      </c>
      <c r="F8" s="7">
        <f>-258005.41</f>
        <v>-258005.41</v>
      </c>
      <c r="G8" s="7">
        <f>-252349.04</f>
        <v>-252349.04</v>
      </c>
      <c r="H8" s="7">
        <f>-286820.96</f>
        <v>-286820.96000000002</v>
      </c>
      <c r="I8" s="7">
        <f>-292067.25</f>
        <v>-292067.25</v>
      </c>
      <c r="J8" s="7">
        <f>-282617</f>
        <v>-282617</v>
      </c>
      <c r="K8" s="7">
        <f>-474209.88</f>
        <v>-474209.88</v>
      </c>
      <c r="L8" s="7">
        <f>-326285.35</f>
        <v>-326285.34999999998</v>
      </c>
      <c r="M8" s="7">
        <f>-313324.44</f>
        <v>-313324.44</v>
      </c>
      <c r="N8" s="7">
        <f>(((((((((((B8)+(C8))+(D8))+(E8))+(F8))+(G8))+(H8))+(I8))+(J8))+(K8))+(L8))+(M8)</f>
        <v>-3455549.88</v>
      </c>
    </row>
    <row r="9" spans="1:14" x14ac:dyDescent="0.3">
      <c r="A9" s="5" t="s">
        <v>20</v>
      </c>
      <c r="B9" s="8">
        <f t="shared" ref="B9:M9" si="0">(B7)+(B8)</f>
        <v>2054317.2399999998</v>
      </c>
      <c r="C9" s="8">
        <f t="shared" si="0"/>
        <v>1878670.04</v>
      </c>
      <c r="D9" s="8">
        <f t="shared" si="0"/>
        <v>2076468.4</v>
      </c>
      <c r="E9" s="8">
        <f t="shared" si="0"/>
        <v>2093672.2499999998</v>
      </c>
      <c r="F9" s="8">
        <f t="shared" si="0"/>
        <v>2221483.98</v>
      </c>
      <c r="G9" s="8">
        <f t="shared" si="0"/>
        <v>1961756.5099999998</v>
      </c>
      <c r="H9" s="8">
        <f t="shared" si="0"/>
        <v>2290840.13</v>
      </c>
      <c r="I9" s="8">
        <f t="shared" si="0"/>
        <v>2321415.2400000002</v>
      </c>
      <c r="J9" s="8">
        <f t="shared" si="0"/>
        <v>1922666.7400000002</v>
      </c>
      <c r="K9" s="8">
        <f t="shared" si="0"/>
        <v>2352916.25</v>
      </c>
      <c r="L9" s="8">
        <f t="shared" si="0"/>
        <v>1732456.88</v>
      </c>
      <c r="M9" s="8">
        <f t="shared" si="0"/>
        <v>2070298.46</v>
      </c>
      <c r="N9" s="8">
        <f>(((((((((((B9)+(C9))+(D9))+(E9))+(F9))+(G9))+(H9))+(I9))+(J9))+(K9))+(L9))+(M9)</f>
        <v>24976962.120000001</v>
      </c>
    </row>
    <row r="10" spans="1:14" x14ac:dyDescent="0.3">
      <c r="A10" s="5" t="s">
        <v>21</v>
      </c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</row>
    <row r="11" spans="1:14" x14ac:dyDescent="0.3">
      <c r="A11" s="5" t="s">
        <v>22</v>
      </c>
      <c r="B11" s="7">
        <f>401320.26</f>
        <v>401320.26</v>
      </c>
      <c r="C11" s="7">
        <f>398521.68</f>
        <v>398521.68</v>
      </c>
      <c r="D11" s="7">
        <f>430127.7</f>
        <v>430127.7</v>
      </c>
      <c r="E11" s="7">
        <f>480900.01</f>
        <v>480900.01</v>
      </c>
      <c r="F11" s="7">
        <f>445044.29</f>
        <v>445044.29</v>
      </c>
      <c r="G11" s="7">
        <f>433921.91</f>
        <v>433921.91</v>
      </c>
      <c r="H11" s="7">
        <f>462295.82</f>
        <v>462295.82</v>
      </c>
      <c r="I11" s="7">
        <f>508514.72</f>
        <v>508514.72</v>
      </c>
      <c r="J11" s="7">
        <f>473756.18</f>
        <v>473756.18</v>
      </c>
      <c r="K11" s="7">
        <f>488649.29</f>
        <v>488649.29</v>
      </c>
      <c r="L11" s="7">
        <f>451653.65</f>
        <v>451653.65</v>
      </c>
      <c r="M11" s="7">
        <f>509193.41</f>
        <v>509193.41</v>
      </c>
      <c r="N11" s="7">
        <f t="shared" ref="N11:N23" si="1">(((((((((((B11)+(C11))+(D11))+(E11))+(F11))+(G11))+(H11))+(I11))+(J11))+(K11))+(L11))+(M11)</f>
        <v>5483898.9199999999</v>
      </c>
    </row>
    <row r="12" spans="1:14" x14ac:dyDescent="0.3">
      <c r="A12" s="5" t="s">
        <v>23</v>
      </c>
      <c r="B12" s="7">
        <f>67800.52</f>
        <v>67800.52</v>
      </c>
      <c r="C12" s="7">
        <f>60363.82</f>
        <v>60363.82</v>
      </c>
      <c r="D12" s="7">
        <f>66050.47</f>
        <v>66050.47</v>
      </c>
      <c r="E12" s="7">
        <f>65910.31</f>
        <v>65910.31</v>
      </c>
      <c r="F12" s="7">
        <f>70342.53</f>
        <v>70342.53</v>
      </c>
      <c r="G12" s="7">
        <f>62676.63</f>
        <v>62676.63</v>
      </c>
      <c r="H12" s="7">
        <f>75929.35</f>
        <v>75929.350000000006</v>
      </c>
      <c r="I12" s="7">
        <f>71508.99</f>
        <v>71508.990000000005</v>
      </c>
      <c r="J12" s="7">
        <f>62195.91</f>
        <v>62195.91</v>
      </c>
      <c r="K12" s="7">
        <f>79005.55</f>
        <v>79005.55</v>
      </c>
      <c r="L12" s="7">
        <f>62040.9</f>
        <v>62040.9</v>
      </c>
      <c r="M12" s="7">
        <f>65890.53</f>
        <v>65890.53</v>
      </c>
      <c r="N12" s="7">
        <f t="shared" si="1"/>
        <v>809715.51000000013</v>
      </c>
    </row>
    <row r="13" spans="1:14" x14ac:dyDescent="0.3">
      <c r="A13" s="5" t="s">
        <v>24</v>
      </c>
      <c r="B13" s="6"/>
      <c r="C13" s="6"/>
      <c r="D13" s="6"/>
      <c r="E13" s="6"/>
      <c r="F13" s="6"/>
      <c r="G13" s="6"/>
      <c r="H13" s="6"/>
      <c r="I13" s="6"/>
      <c r="J13" s="6"/>
      <c r="K13" s="6"/>
      <c r="L13" s="7">
        <f>8528.5</f>
        <v>8528.5</v>
      </c>
      <c r="M13" s="7">
        <f>2845.6</f>
        <v>2845.6</v>
      </c>
      <c r="N13" s="7">
        <f t="shared" si="1"/>
        <v>11374.1</v>
      </c>
    </row>
    <row r="14" spans="1:14" x14ac:dyDescent="0.3">
      <c r="A14" s="5" t="s">
        <v>25</v>
      </c>
      <c r="B14" s="7">
        <f>310615.87</f>
        <v>310615.87</v>
      </c>
      <c r="C14" s="7">
        <f>319229.06</f>
        <v>319229.06</v>
      </c>
      <c r="D14" s="7">
        <f>311369.22</f>
        <v>311369.21999999997</v>
      </c>
      <c r="E14" s="7">
        <f>275700.63</f>
        <v>275700.63</v>
      </c>
      <c r="F14" s="7">
        <f>258504.26</f>
        <v>258504.26</v>
      </c>
      <c r="G14" s="7">
        <f>324911.88</f>
        <v>324911.88</v>
      </c>
      <c r="H14" s="7">
        <f>263090.31</f>
        <v>263090.31</v>
      </c>
      <c r="I14" s="7">
        <f>237518.25</f>
        <v>237518.25</v>
      </c>
      <c r="J14" s="7">
        <f>17.9</f>
        <v>17.899999999999999</v>
      </c>
      <c r="K14" s="7">
        <f>6.44</f>
        <v>6.44</v>
      </c>
      <c r="L14" s="6"/>
      <c r="M14" s="6"/>
      <c r="N14" s="7">
        <f t="shared" si="1"/>
        <v>2300963.8199999998</v>
      </c>
    </row>
    <row r="15" spans="1:14" x14ac:dyDescent="0.3">
      <c r="A15" s="5" t="s">
        <v>26</v>
      </c>
      <c r="B15" s="7">
        <f>330506.45</f>
        <v>330506.45</v>
      </c>
      <c r="C15" s="7">
        <f>214986.7</f>
        <v>214986.7</v>
      </c>
      <c r="D15" s="7">
        <f>151623.45</f>
        <v>151623.45000000001</v>
      </c>
      <c r="E15" s="7">
        <f>63185.45</f>
        <v>63185.45</v>
      </c>
      <c r="F15" s="7">
        <f>1267.7</f>
        <v>1267.7</v>
      </c>
      <c r="G15" s="7">
        <f>98.95</f>
        <v>98.95</v>
      </c>
      <c r="H15" s="7">
        <f>84.95</f>
        <v>84.95</v>
      </c>
      <c r="I15" s="7">
        <f>142.95</f>
        <v>142.94999999999999</v>
      </c>
      <c r="J15" s="7">
        <f>88.2</f>
        <v>88.2</v>
      </c>
      <c r="K15" s="7">
        <f>86.2</f>
        <v>86.2</v>
      </c>
      <c r="L15" s="7">
        <f>84.95</f>
        <v>84.95</v>
      </c>
      <c r="M15" s="7">
        <f>85.2</f>
        <v>85.2</v>
      </c>
      <c r="N15" s="7">
        <f t="shared" si="1"/>
        <v>762241.14999999967</v>
      </c>
    </row>
    <row r="16" spans="1:14" x14ac:dyDescent="0.3">
      <c r="A16" s="5" t="s">
        <v>27</v>
      </c>
      <c r="B16" s="7">
        <f>2693.77</f>
        <v>2693.77</v>
      </c>
      <c r="C16" s="7">
        <f>9536.86</f>
        <v>9536.86</v>
      </c>
      <c r="D16" s="7">
        <f>109394.39</f>
        <v>109394.39</v>
      </c>
      <c r="E16" s="7">
        <f>144567.97</f>
        <v>144567.97</v>
      </c>
      <c r="F16" s="7">
        <f>281795.25</f>
        <v>281795.25</v>
      </c>
      <c r="G16" s="7">
        <f>238782.52</f>
        <v>238782.52</v>
      </c>
      <c r="H16" s="7">
        <f>230943.65</f>
        <v>230943.65</v>
      </c>
      <c r="I16" s="7">
        <f>484907.91</f>
        <v>484907.91</v>
      </c>
      <c r="J16" s="7">
        <f>480591.97</f>
        <v>480591.97</v>
      </c>
      <c r="K16" s="7">
        <f>400674.13</f>
        <v>400674.13</v>
      </c>
      <c r="L16" s="7">
        <f>503942.14</f>
        <v>503942.14</v>
      </c>
      <c r="M16" s="7">
        <f>702249.9</f>
        <v>702249.9</v>
      </c>
      <c r="N16" s="7">
        <f t="shared" si="1"/>
        <v>3590080.46</v>
      </c>
    </row>
    <row r="17" spans="1:14" x14ac:dyDescent="0.3">
      <c r="A17" s="5" t="s">
        <v>28</v>
      </c>
      <c r="B17" s="7">
        <f>3320.13</f>
        <v>3320.13</v>
      </c>
      <c r="C17" s="7">
        <f>11881.93</f>
        <v>11881.93</v>
      </c>
      <c r="D17" s="7">
        <f>17275.86</f>
        <v>17275.86</v>
      </c>
      <c r="E17" s="7">
        <f>12050.08</f>
        <v>12050.08</v>
      </c>
      <c r="F17" s="7">
        <f>12259.34</f>
        <v>12259.34</v>
      </c>
      <c r="G17" s="7">
        <f>14710.62</f>
        <v>14710.62</v>
      </c>
      <c r="H17" s="7">
        <f>15591.59</f>
        <v>15591.59</v>
      </c>
      <c r="I17" s="7">
        <f>14951.76</f>
        <v>14951.76</v>
      </c>
      <c r="J17" s="7">
        <f>16978.91</f>
        <v>16978.91</v>
      </c>
      <c r="K17" s="7">
        <f>17040.46</f>
        <v>17040.46</v>
      </c>
      <c r="L17" s="7">
        <f>15215.39</f>
        <v>15215.39</v>
      </c>
      <c r="M17" s="7">
        <f>17226.38</f>
        <v>17226.38</v>
      </c>
      <c r="N17" s="7">
        <f t="shared" si="1"/>
        <v>168502.45</v>
      </c>
    </row>
    <row r="18" spans="1:14" x14ac:dyDescent="0.3">
      <c r="A18" s="5" t="s">
        <v>30</v>
      </c>
      <c r="B18" s="8">
        <f t="shared" ref="B18:M18" si="2">((((B13)+(B14))+(B15))+(B16))+(B17)</f>
        <v>647136.22000000009</v>
      </c>
      <c r="C18" s="8">
        <f t="shared" si="2"/>
        <v>555634.55000000005</v>
      </c>
      <c r="D18" s="8">
        <f t="shared" si="2"/>
        <v>589662.91999999993</v>
      </c>
      <c r="E18" s="8">
        <f t="shared" si="2"/>
        <v>495504.13000000006</v>
      </c>
      <c r="F18" s="8">
        <f t="shared" si="2"/>
        <v>553826.54999999993</v>
      </c>
      <c r="G18" s="8">
        <f t="shared" si="2"/>
        <v>578503.97</v>
      </c>
      <c r="H18" s="8">
        <f t="shared" si="2"/>
        <v>509710.50000000006</v>
      </c>
      <c r="I18" s="8">
        <f t="shared" si="2"/>
        <v>737520.87</v>
      </c>
      <c r="J18" s="8">
        <f t="shared" si="2"/>
        <v>497676.97999999992</v>
      </c>
      <c r="K18" s="8">
        <f t="shared" si="2"/>
        <v>417807.23000000004</v>
      </c>
      <c r="L18" s="8">
        <f t="shared" si="2"/>
        <v>527770.98</v>
      </c>
      <c r="M18" s="8">
        <f t="shared" si="2"/>
        <v>722407.08000000007</v>
      </c>
      <c r="N18" s="8">
        <f t="shared" si="1"/>
        <v>6833161.9800000004</v>
      </c>
    </row>
    <row r="19" spans="1:14" x14ac:dyDescent="0.3">
      <c r="A19" s="5" t="s">
        <v>31</v>
      </c>
      <c r="B19" s="7">
        <f>55164.17</f>
        <v>55164.17</v>
      </c>
      <c r="C19" s="7">
        <f>65318.28</f>
        <v>65318.28</v>
      </c>
      <c r="D19" s="7">
        <f>76276.27</f>
        <v>76276.27</v>
      </c>
      <c r="E19" s="7">
        <f>97731.6</f>
        <v>97731.6</v>
      </c>
      <c r="F19" s="7">
        <f>85888.82</f>
        <v>85888.82</v>
      </c>
      <c r="G19" s="7">
        <f>89130.03</f>
        <v>89130.03</v>
      </c>
      <c r="H19" s="7">
        <f>137924.99</f>
        <v>137924.99</v>
      </c>
      <c r="I19" s="7">
        <f>137521.98</f>
        <v>137521.98000000001</v>
      </c>
      <c r="J19" s="7">
        <f>123461.62</f>
        <v>123461.62</v>
      </c>
      <c r="K19" s="7">
        <f>147445.16</f>
        <v>147445.16</v>
      </c>
      <c r="L19" s="7">
        <f>110723.73</f>
        <v>110723.73</v>
      </c>
      <c r="M19" s="7">
        <f>96400.13</f>
        <v>96400.13</v>
      </c>
      <c r="N19" s="7">
        <f t="shared" si="1"/>
        <v>1222986.7800000003</v>
      </c>
    </row>
    <row r="20" spans="1:14" x14ac:dyDescent="0.3">
      <c r="A20" s="5" t="s">
        <v>32</v>
      </c>
      <c r="B20" s="7">
        <f>95416.9</f>
        <v>95416.9</v>
      </c>
      <c r="C20" s="7">
        <f>64050.86</f>
        <v>64050.86</v>
      </c>
      <c r="D20" s="7">
        <f>82041.8</f>
        <v>82041.8</v>
      </c>
      <c r="E20" s="7">
        <f>100772.15</f>
        <v>100772.15</v>
      </c>
      <c r="F20" s="7">
        <f>67108.59</f>
        <v>67108.59</v>
      </c>
      <c r="G20" s="7">
        <f>31957.75</f>
        <v>31957.75</v>
      </c>
      <c r="H20" s="7">
        <f>82572.47</f>
        <v>82572.47</v>
      </c>
      <c r="I20" s="7">
        <f>87206.21</f>
        <v>87206.21</v>
      </c>
      <c r="J20" s="7">
        <f>56939.2</f>
        <v>56939.199999999997</v>
      </c>
      <c r="K20" s="7">
        <f>79108.22</f>
        <v>79108.22</v>
      </c>
      <c r="L20" s="7">
        <f>47757.14</f>
        <v>47757.14</v>
      </c>
      <c r="M20" s="7">
        <f>68218.83</f>
        <v>68218.83</v>
      </c>
      <c r="N20" s="7">
        <f t="shared" si="1"/>
        <v>863150.11999999976</v>
      </c>
    </row>
    <row r="21" spans="1:14" x14ac:dyDescent="0.3">
      <c r="A21" s="5" t="s">
        <v>33</v>
      </c>
      <c r="B21" s="7">
        <f>12822.82</f>
        <v>12822.82</v>
      </c>
      <c r="C21" s="7">
        <f>15444.33</f>
        <v>15444.33</v>
      </c>
      <c r="D21" s="7">
        <f>14859.69</f>
        <v>14859.69</v>
      </c>
      <c r="E21" s="7">
        <f>15215.15</f>
        <v>15215.15</v>
      </c>
      <c r="F21" s="7">
        <f>16172.74</f>
        <v>16172.74</v>
      </c>
      <c r="G21" s="7">
        <f>15746.96</f>
        <v>15746.96</v>
      </c>
      <c r="H21" s="7">
        <f>14356.75</f>
        <v>14356.75</v>
      </c>
      <c r="I21" s="7">
        <f>17458.85</f>
        <v>17458.849999999999</v>
      </c>
      <c r="J21" s="7">
        <f>17076.23</f>
        <v>17076.23</v>
      </c>
      <c r="K21" s="7">
        <f>13436.85</f>
        <v>13436.85</v>
      </c>
      <c r="L21" s="7">
        <f>24969.7</f>
        <v>24969.7</v>
      </c>
      <c r="M21" s="7">
        <f>22995.43</f>
        <v>22995.43</v>
      </c>
      <c r="N21" s="7">
        <f t="shared" si="1"/>
        <v>200555.50000000003</v>
      </c>
    </row>
    <row r="22" spans="1:14" x14ac:dyDescent="0.3">
      <c r="A22" s="5" t="s">
        <v>35</v>
      </c>
      <c r="B22" s="8">
        <f t="shared" ref="B22:M22" si="3">(((((B11)+(B12))+(B18))+(B19))+(B20))+(B21)</f>
        <v>1279660.8899999999</v>
      </c>
      <c r="C22" s="8">
        <f t="shared" si="3"/>
        <v>1159333.5200000003</v>
      </c>
      <c r="D22" s="8">
        <f t="shared" si="3"/>
        <v>1259018.8499999999</v>
      </c>
      <c r="E22" s="8">
        <f t="shared" si="3"/>
        <v>1256033.3500000001</v>
      </c>
      <c r="F22" s="8">
        <f t="shared" si="3"/>
        <v>1238383.52</v>
      </c>
      <c r="G22" s="8">
        <f t="shared" si="3"/>
        <v>1211937.25</v>
      </c>
      <c r="H22" s="8">
        <f t="shared" si="3"/>
        <v>1282789.8800000001</v>
      </c>
      <c r="I22" s="8">
        <f t="shared" si="3"/>
        <v>1559731.62</v>
      </c>
      <c r="J22" s="8">
        <f t="shared" si="3"/>
        <v>1231106.1199999999</v>
      </c>
      <c r="K22" s="8">
        <f t="shared" si="3"/>
        <v>1225452.3</v>
      </c>
      <c r="L22" s="8">
        <f t="shared" si="3"/>
        <v>1224916.0999999999</v>
      </c>
      <c r="M22" s="8">
        <f t="shared" si="3"/>
        <v>1485105.41</v>
      </c>
      <c r="N22" s="8">
        <f t="shared" si="1"/>
        <v>15413468.809999999</v>
      </c>
    </row>
    <row r="23" spans="1:14" x14ac:dyDescent="0.3">
      <c r="A23" s="5" t="s">
        <v>36</v>
      </c>
      <c r="B23" s="8">
        <f t="shared" ref="B23:M23" si="4">(B9)-(B22)</f>
        <v>774656.34999999986</v>
      </c>
      <c r="C23" s="8">
        <f t="shared" si="4"/>
        <v>719336.51999999979</v>
      </c>
      <c r="D23" s="8">
        <f t="shared" si="4"/>
        <v>817449.55</v>
      </c>
      <c r="E23" s="8">
        <f t="shared" si="4"/>
        <v>837638.89999999967</v>
      </c>
      <c r="F23" s="8">
        <f t="shared" si="4"/>
        <v>983100.46</v>
      </c>
      <c r="G23" s="8">
        <f t="shared" si="4"/>
        <v>749819.25999999978</v>
      </c>
      <c r="H23" s="8">
        <f t="shared" si="4"/>
        <v>1008050.2499999998</v>
      </c>
      <c r="I23" s="8">
        <f t="shared" si="4"/>
        <v>761683.62000000011</v>
      </c>
      <c r="J23" s="8">
        <f t="shared" si="4"/>
        <v>691560.62000000034</v>
      </c>
      <c r="K23" s="8">
        <f t="shared" si="4"/>
        <v>1127463.95</v>
      </c>
      <c r="L23" s="8">
        <f t="shared" si="4"/>
        <v>507540.78</v>
      </c>
      <c r="M23" s="8">
        <f t="shared" si="4"/>
        <v>585193.05000000005</v>
      </c>
      <c r="N23" s="8">
        <f t="shared" si="1"/>
        <v>9563493.3099999987</v>
      </c>
    </row>
    <row r="24" spans="1:14" x14ac:dyDescent="0.3">
      <c r="A24" s="5" t="s">
        <v>37</v>
      </c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</row>
    <row r="25" spans="1:14" x14ac:dyDescent="0.3">
      <c r="A25" s="5" t="s">
        <v>38</v>
      </c>
      <c r="B25" s="7">
        <f>199</f>
        <v>199</v>
      </c>
      <c r="C25" s="7">
        <f>20</f>
        <v>20</v>
      </c>
      <c r="D25" s="7">
        <f>900</f>
        <v>900</v>
      </c>
      <c r="E25" s="6"/>
      <c r="F25" s="6"/>
      <c r="G25" s="6"/>
      <c r="H25" s="6"/>
      <c r="I25" s="7">
        <f>5.41</f>
        <v>5.41</v>
      </c>
      <c r="J25" s="7">
        <f>30.3</f>
        <v>30.3</v>
      </c>
      <c r="K25" s="7">
        <f>184.06</f>
        <v>184.06</v>
      </c>
      <c r="L25" s="7">
        <f>14.06</f>
        <v>14.06</v>
      </c>
      <c r="M25" s="7">
        <f>14.06</f>
        <v>14.06</v>
      </c>
      <c r="N25" s="7">
        <f t="shared" ref="N25:N88" si="5">(((((((((((B25)+(C25))+(D25))+(E25))+(F25))+(G25))+(H25))+(I25))+(J25))+(K25))+(L25))+(M25)</f>
        <v>1366.8899999999999</v>
      </c>
    </row>
    <row r="26" spans="1:14" x14ac:dyDescent="0.3">
      <c r="A26" s="5" t="s">
        <v>205</v>
      </c>
      <c r="B26" s="6"/>
      <c r="C26" s="6"/>
      <c r="D26" s="6"/>
      <c r="E26" s="7">
        <f>1000</f>
        <v>1000</v>
      </c>
      <c r="F26" s="6"/>
      <c r="G26" s="6"/>
      <c r="H26" s="7">
        <f>245.09</f>
        <v>245.09</v>
      </c>
      <c r="I26" s="7">
        <f>32.19</f>
        <v>32.19</v>
      </c>
      <c r="J26" s="6"/>
      <c r="K26" s="6"/>
      <c r="L26" s="6"/>
      <c r="M26" s="6"/>
      <c r="N26" s="7">
        <f t="shared" si="5"/>
        <v>1277.28</v>
      </c>
    </row>
    <row r="27" spans="1:14" x14ac:dyDescent="0.3">
      <c r="A27" s="5" t="s">
        <v>179</v>
      </c>
      <c r="B27" s="6"/>
      <c r="C27" s="7">
        <f>4.3</f>
        <v>4.3</v>
      </c>
      <c r="D27" s="7">
        <f>17.58</f>
        <v>17.579999999999998</v>
      </c>
      <c r="E27" s="6"/>
      <c r="F27" s="7">
        <f>59.14</f>
        <v>59.14</v>
      </c>
      <c r="G27" s="7">
        <f>55.76</f>
        <v>55.76</v>
      </c>
      <c r="H27" s="7">
        <f>126.46</f>
        <v>126.46</v>
      </c>
      <c r="I27" s="6"/>
      <c r="J27" s="6"/>
      <c r="K27" s="6"/>
      <c r="L27" s="6"/>
      <c r="M27" s="6"/>
      <c r="N27" s="7">
        <f t="shared" si="5"/>
        <v>263.24</v>
      </c>
    </row>
    <row r="28" spans="1:14" x14ac:dyDescent="0.3">
      <c r="A28" s="5" t="s">
        <v>39</v>
      </c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7">
        <f t="shared" si="5"/>
        <v>0</v>
      </c>
    </row>
    <row r="29" spans="1:14" x14ac:dyDescent="0.3">
      <c r="A29" s="5" t="s">
        <v>40</v>
      </c>
      <c r="B29" s="7">
        <f>435.3</f>
        <v>435.3</v>
      </c>
      <c r="C29" s="7">
        <f>422.6</f>
        <v>422.6</v>
      </c>
      <c r="D29" s="7">
        <f>81.56</f>
        <v>81.56</v>
      </c>
      <c r="E29" s="7">
        <f>43.2</f>
        <v>43.2</v>
      </c>
      <c r="F29" s="7">
        <f>44.45</f>
        <v>44.45</v>
      </c>
      <c r="G29" s="7">
        <f>44.45</f>
        <v>44.45</v>
      </c>
      <c r="H29" s="7">
        <f>72.2</f>
        <v>72.2</v>
      </c>
      <c r="I29" s="7">
        <f>99.95</f>
        <v>99.95</v>
      </c>
      <c r="J29" s="7">
        <f>113.31</f>
        <v>113.31</v>
      </c>
      <c r="K29" s="7">
        <f>994.3</f>
        <v>994.3</v>
      </c>
      <c r="L29" s="7">
        <f>1006.5</f>
        <v>1006.5</v>
      </c>
      <c r="M29" s="7">
        <f>798.58</f>
        <v>798.58</v>
      </c>
      <c r="N29" s="7">
        <f t="shared" si="5"/>
        <v>4156.4000000000005</v>
      </c>
    </row>
    <row r="30" spans="1:14" x14ac:dyDescent="0.3">
      <c r="A30" s="5" t="s">
        <v>41</v>
      </c>
      <c r="B30" s="7">
        <f>8.67</f>
        <v>8.67</v>
      </c>
      <c r="C30" s="7">
        <f>4.34</f>
        <v>4.34</v>
      </c>
      <c r="D30" s="7">
        <f>13.67</f>
        <v>13.67</v>
      </c>
      <c r="E30" s="7">
        <f>15.23</f>
        <v>15.23</v>
      </c>
      <c r="F30" s="7">
        <f>15.98</f>
        <v>15.98</v>
      </c>
      <c r="G30" s="7">
        <f>2.97</f>
        <v>2.97</v>
      </c>
      <c r="H30" s="7">
        <f>8.31</f>
        <v>8.31</v>
      </c>
      <c r="I30" s="7">
        <f>5.78</f>
        <v>5.78</v>
      </c>
      <c r="J30" s="7">
        <f>5.64</f>
        <v>5.64</v>
      </c>
      <c r="K30" s="7">
        <f>5.64</f>
        <v>5.64</v>
      </c>
      <c r="L30" s="7">
        <f>5.64</f>
        <v>5.64</v>
      </c>
      <c r="M30" s="7">
        <f>5.64</f>
        <v>5.64</v>
      </c>
      <c r="N30" s="7">
        <f t="shared" si="5"/>
        <v>97.51</v>
      </c>
    </row>
    <row r="31" spans="1:14" x14ac:dyDescent="0.3">
      <c r="A31" s="5" t="s">
        <v>42</v>
      </c>
      <c r="B31" s="8">
        <f t="shared" ref="B31:M31" si="6">(B29)+(B30)</f>
        <v>443.97</v>
      </c>
      <c r="C31" s="8">
        <f t="shared" si="6"/>
        <v>426.94</v>
      </c>
      <c r="D31" s="8">
        <f t="shared" si="6"/>
        <v>95.23</v>
      </c>
      <c r="E31" s="8">
        <f t="shared" si="6"/>
        <v>58.430000000000007</v>
      </c>
      <c r="F31" s="8">
        <f t="shared" si="6"/>
        <v>60.430000000000007</v>
      </c>
      <c r="G31" s="8">
        <f t="shared" si="6"/>
        <v>47.42</v>
      </c>
      <c r="H31" s="8">
        <f t="shared" si="6"/>
        <v>80.510000000000005</v>
      </c>
      <c r="I31" s="8">
        <f t="shared" si="6"/>
        <v>105.73</v>
      </c>
      <c r="J31" s="8">
        <f t="shared" si="6"/>
        <v>118.95</v>
      </c>
      <c r="K31" s="8">
        <f t="shared" si="6"/>
        <v>999.93999999999994</v>
      </c>
      <c r="L31" s="8">
        <f t="shared" si="6"/>
        <v>1012.14</v>
      </c>
      <c r="M31" s="8">
        <f t="shared" si="6"/>
        <v>804.22</v>
      </c>
      <c r="N31" s="8">
        <f t="shared" si="5"/>
        <v>4253.91</v>
      </c>
    </row>
    <row r="32" spans="1:14" x14ac:dyDescent="0.3">
      <c r="A32" s="5" t="s">
        <v>43</v>
      </c>
      <c r="B32" s="7">
        <f>9344.5</f>
        <v>9344.5</v>
      </c>
      <c r="C32" s="7">
        <f>275.83</f>
        <v>275.83</v>
      </c>
      <c r="D32" s="7">
        <f>15244.76</f>
        <v>15244.76</v>
      </c>
      <c r="E32" s="7">
        <f>25886.29</f>
        <v>25886.29</v>
      </c>
      <c r="F32" s="7">
        <f>15358.58</f>
        <v>15358.58</v>
      </c>
      <c r="G32" s="7">
        <f>9497.74</f>
        <v>9497.74</v>
      </c>
      <c r="H32" s="7">
        <f>5201.94</f>
        <v>5201.9399999999996</v>
      </c>
      <c r="I32" s="7">
        <f>3760.12</f>
        <v>3760.12</v>
      </c>
      <c r="J32" s="7">
        <f>4868.66</f>
        <v>4868.66</v>
      </c>
      <c r="K32" s="7">
        <f>1501.48</f>
        <v>1501.48</v>
      </c>
      <c r="L32" s="7">
        <f>248.92</f>
        <v>248.92</v>
      </c>
      <c r="M32" s="6"/>
      <c r="N32" s="7">
        <f t="shared" si="5"/>
        <v>91188.82</v>
      </c>
    </row>
    <row r="33" spans="1:14" x14ac:dyDescent="0.3">
      <c r="A33" s="5" t="s">
        <v>44</v>
      </c>
      <c r="B33" s="6"/>
      <c r="C33" s="6"/>
      <c r="D33" s="6"/>
      <c r="E33" s="6"/>
      <c r="F33" s="6"/>
      <c r="G33" s="6"/>
      <c r="H33" s="7">
        <f>1090.77</f>
        <v>1090.77</v>
      </c>
      <c r="I33" s="6"/>
      <c r="J33" s="6"/>
      <c r="K33" s="6"/>
      <c r="L33" s="7">
        <f>1816</f>
        <v>1816</v>
      </c>
      <c r="M33" s="6"/>
      <c r="N33" s="7">
        <f t="shared" si="5"/>
        <v>2906.77</v>
      </c>
    </row>
    <row r="34" spans="1:14" x14ac:dyDescent="0.3">
      <c r="A34" s="5" t="s">
        <v>45</v>
      </c>
      <c r="B34" s="7">
        <f>481.37</f>
        <v>481.37</v>
      </c>
      <c r="C34" s="7">
        <f>363.54</f>
        <v>363.54</v>
      </c>
      <c r="D34" s="7">
        <f>157.5</f>
        <v>157.5</v>
      </c>
      <c r="E34" s="6"/>
      <c r="F34" s="6"/>
      <c r="G34" s="6"/>
      <c r="H34" s="6"/>
      <c r="I34" s="6"/>
      <c r="J34" s="6"/>
      <c r="K34" s="6"/>
      <c r="L34" s="6"/>
      <c r="M34" s="6"/>
      <c r="N34" s="7">
        <f t="shared" si="5"/>
        <v>1002.4100000000001</v>
      </c>
    </row>
    <row r="35" spans="1:14" x14ac:dyDescent="0.3">
      <c r="A35" s="5" t="s">
        <v>46</v>
      </c>
      <c r="B35" s="7">
        <f>339.85</f>
        <v>339.85</v>
      </c>
      <c r="C35" s="7">
        <f>30.06</f>
        <v>30.06</v>
      </c>
      <c r="D35" s="7">
        <f>111.39</f>
        <v>111.39</v>
      </c>
      <c r="E35" s="7">
        <f>17.26</f>
        <v>17.260000000000002</v>
      </c>
      <c r="F35" s="7">
        <f>948.43</f>
        <v>948.43</v>
      </c>
      <c r="G35" s="7">
        <f>493.66</f>
        <v>493.66</v>
      </c>
      <c r="H35" s="7">
        <f>960.35</f>
        <v>960.35</v>
      </c>
      <c r="I35" s="7">
        <f>453.84</f>
        <v>453.84</v>
      </c>
      <c r="J35" s="6"/>
      <c r="K35" s="6"/>
      <c r="L35" s="6"/>
      <c r="M35" s="6"/>
      <c r="N35" s="7">
        <f t="shared" si="5"/>
        <v>3354.84</v>
      </c>
    </row>
    <row r="36" spans="1:14" x14ac:dyDescent="0.3">
      <c r="A36" s="5" t="s">
        <v>47</v>
      </c>
      <c r="B36" s="7">
        <f>1537.02</f>
        <v>1537.02</v>
      </c>
      <c r="C36" s="7">
        <f>170.99</f>
        <v>170.99</v>
      </c>
      <c r="D36" s="7">
        <f>226.11</f>
        <v>226.11</v>
      </c>
      <c r="E36" s="7">
        <f>162.18</f>
        <v>162.18</v>
      </c>
      <c r="F36" s="6"/>
      <c r="G36" s="7">
        <f>64.01</f>
        <v>64.010000000000005</v>
      </c>
      <c r="H36" s="7">
        <f>37.73</f>
        <v>37.729999999999997</v>
      </c>
      <c r="I36" s="6"/>
      <c r="J36" s="7">
        <f>464.37</f>
        <v>464.37</v>
      </c>
      <c r="K36" s="7">
        <f>1183.16</f>
        <v>1183.1600000000001</v>
      </c>
      <c r="L36" s="7">
        <f>376.56</f>
        <v>376.56</v>
      </c>
      <c r="M36" s="7">
        <f>507.22</f>
        <v>507.22</v>
      </c>
      <c r="N36" s="7">
        <f t="shared" si="5"/>
        <v>4729.3500000000004</v>
      </c>
    </row>
    <row r="37" spans="1:14" x14ac:dyDescent="0.3">
      <c r="A37" s="5" t="s">
        <v>48</v>
      </c>
      <c r="B37" s="7">
        <f>492.5</f>
        <v>492.5</v>
      </c>
      <c r="C37" s="7">
        <f>261.49</f>
        <v>261.49</v>
      </c>
      <c r="D37" s="7">
        <f>636.29</f>
        <v>636.29</v>
      </c>
      <c r="E37" s="7">
        <f>861.44</f>
        <v>861.44</v>
      </c>
      <c r="F37" s="7">
        <f>1464.69</f>
        <v>1464.69</v>
      </c>
      <c r="G37" s="7">
        <f>868.19</f>
        <v>868.19</v>
      </c>
      <c r="H37" s="7">
        <f>1060.24</f>
        <v>1060.24</v>
      </c>
      <c r="I37" s="7">
        <f>299.64</f>
        <v>299.64</v>
      </c>
      <c r="J37" s="7">
        <f>220.75</f>
        <v>220.75</v>
      </c>
      <c r="K37" s="7">
        <f>173.28</f>
        <v>173.28</v>
      </c>
      <c r="L37" s="7">
        <f>193.62</f>
        <v>193.62</v>
      </c>
      <c r="M37" s="7">
        <f>63.18</f>
        <v>63.18</v>
      </c>
      <c r="N37" s="7">
        <f t="shared" si="5"/>
        <v>6595.31</v>
      </c>
    </row>
    <row r="38" spans="1:14" x14ac:dyDescent="0.3">
      <c r="A38" s="5" t="s">
        <v>49</v>
      </c>
      <c r="B38" s="8">
        <f t="shared" ref="B38:M38" si="7">((B35)+(B36))+(B37)</f>
        <v>2369.37</v>
      </c>
      <c r="C38" s="8">
        <f t="shared" si="7"/>
        <v>462.54</v>
      </c>
      <c r="D38" s="8">
        <f t="shared" si="7"/>
        <v>973.79</v>
      </c>
      <c r="E38" s="8">
        <f t="shared" si="7"/>
        <v>1040.8800000000001</v>
      </c>
      <c r="F38" s="8">
        <f t="shared" si="7"/>
        <v>2413.12</v>
      </c>
      <c r="G38" s="8">
        <f t="shared" si="7"/>
        <v>1425.8600000000001</v>
      </c>
      <c r="H38" s="8">
        <f t="shared" si="7"/>
        <v>2058.3200000000002</v>
      </c>
      <c r="I38" s="8">
        <f t="shared" si="7"/>
        <v>753.48</v>
      </c>
      <c r="J38" s="8">
        <f t="shared" si="7"/>
        <v>685.12</v>
      </c>
      <c r="K38" s="8">
        <f t="shared" si="7"/>
        <v>1356.44</v>
      </c>
      <c r="L38" s="8">
        <f t="shared" si="7"/>
        <v>570.18000000000006</v>
      </c>
      <c r="M38" s="8">
        <f t="shared" si="7"/>
        <v>570.4</v>
      </c>
      <c r="N38" s="8">
        <f t="shared" si="5"/>
        <v>14679.5</v>
      </c>
    </row>
    <row r="39" spans="1:14" x14ac:dyDescent="0.3">
      <c r="A39" s="5" t="s">
        <v>50</v>
      </c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7">
        <f t="shared" si="5"/>
        <v>0</v>
      </c>
    </row>
    <row r="40" spans="1:14" x14ac:dyDescent="0.3">
      <c r="A40" s="5" t="s">
        <v>51</v>
      </c>
      <c r="B40" s="7">
        <f>506.8</f>
        <v>506.8</v>
      </c>
      <c r="C40" s="7">
        <f>1245.66</f>
        <v>1245.6600000000001</v>
      </c>
      <c r="D40" s="7">
        <f>188.46</f>
        <v>188.46</v>
      </c>
      <c r="E40" s="7">
        <f>203.75</f>
        <v>203.75</v>
      </c>
      <c r="F40" s="7">
        <f>173.85</f>
        <v>173.85</v>
      </c>
      <c r="G40" s="7">
        <f>113.79</f>
        <v>113.79</v>
      </c>
      <c r="H40" s="7">
        <f>92.62</f>
        <v>92.62</v>
      </c>
      <c r="I40" s="7">
        <f>122.6</f>
        <v>122.6</v>
      </c>
      <c r="J40" s="7">
        <f>40.64</f>
        <v>40.64</v>
      </c>
      <c r="K40" s="7">
        <f>25.85</f>
        <v>25.85</v>
      </c>
      <c r="L40" s="7">
        <f>430.5</f>
        <v>430.5</v>
      </c>
      <c r="M40" s="7">
        <f>226.11</f>
        <v>226.11</v>
      </c>
      <c r="N40" s="7">
        <f t="shared" si="5"/>
        <v>3370.6299999999997</v>
      </c>
    </row>
    <row r="41" spans="1:14" x14ac:dyDescent="0.3">
      <c r="A41" s="5" t="s">
        <v>53</v>
      </c>
      <c r="B41" s="8">
        <f t="shared" ref="B41:M41" si="8">(B39)+(B40)</f>
        <v>506.8</v>
      </c>
      <c r="C41" s="8">
        <f t="shared" si="8"/>
        <v>1245.6600000000001</v>
      </c>
      <c r="D41" s="8">
        <f t="shared" si="8"/>
        <v>188.46</v>
      </c>
      <c r="E41" s="8">
        <f t="shared" si="8"/>
        <v>203.75</v>
      </c>
      <c r="F41" s="8">
        <f t="shared" si="8"/>
        <v>173.85</v>
      </c>
      <c r="G41" s="8">
        <f t="shared" si="8"/>
        <v>113.79</v>
      </c>
      <c r="H41" s="8">
        <f t="shared" si="8"/>
        <v>92.62</v>
      </c>
      <c r="I41" s="8">
        <f t="shared" si="8"/>
        <v>122.6</v>
      </c>
      <c r="J41" s="8">
        <f t="shared" si="8"/>
        <v>40.64</v>
      </c>
      <c r="K41" s="8">
        <f t="shared" si="8"/>
        <v>25.85</v>
      </c>
      <c r="L41" s="8">
        <f t="shared" si="8"/>
        <v>430.5</v>
      </c>
      <c r="M41" s="8">
        <f t="shared" si="8"/>
        <v>226.11</v>
      </c>
      <c r="N41" s="8">
        <f t="shared" si="5"/>
        <v>3370.6299999999997</v>
      </c>
    </row>
    <row r="42" spans="1:14" x14ac:dyDescent="0.3">
      <c r="A42" s="5" t="s">
        <v>54</v>
      </c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7">
        <f>4725</f>
        <v>4725</v>
      </c>
      <c r="N42" s="7">
        <f t="shared" si="5"/>
        <v>4725</v>
      </c>
    </row>
    <row r="43" spans="1:14" x14ac:dyDescent="0.3">
      <c r="A43" s="5" t="s">
        <v>55</v>
      </c>
      <c r="B43" s="7">
        <f>3889.13</f>
        <v>3889.13</v>
      </c>
      <c r="C43" s="7">
        <f>4937.5</f>
        <v>4937.5</v>
      </c>
      <c r="D43" s="7">
        <f>4617.45</f>
        <v>4617.45</v>
      </c>
      <c r="E43" s="7">
        <f>5247.5</f>
        <v>5247.5</v>
      </c>
      <c r="F43" s="7">
        <f>5486</f>
        <v>5486</v>
      </c>
      <c r="G43" s="7">
        <f>4813</f>
        <v>4813</v>
      </c>
      <c r="H43" s="7">
        <f>5598</f>
        <v>5598</v>
      </c>
      <c r="I43" s="7">
        <f>4550.5</f>
        <v>4550.5</v>
      </c>
      <c r="J43" s="7">
        <f>4883.5</f>
        <v>4883.5</v>
      </c>
      <c r="K43" s="7">
        <f>5146.95</f>
        <v>5146.95</v>
      </c>
      <c r="L43" s="7">
        <f>8050.15</f>
        <v>8050.15</v>
      </c>
      <c r="M43" s="7">
        <f>4748.3</f>
        <v>4748.3</v>
      </c>
      <c r="N43" s="7">
        <f t="shared" si="5"/>
        <v>61967.98</v>
      </c>
    </row>
    <row r="44" spans="1:14" x14ac:dyDescent="0.3">
      <c r="A44" s="5" t="s">
        <v>206</v>
      </c>
      <c r="B44" s="6"/>
      <c r="C44" s="6"/>
      <c r="D44" s="6"/>
      <c r="E44" s="6"/>
      <c r="F44" s="6"/>
      <c r="G44" s="6"/>
      <c r="H44" s="6"/>
      <c r="I44" s="7">
        <f>1665</f>
        <v>1665</v>
      </c>
      <c r="J44" s="6"/>
      <c r="K44" s="6"/>
      <c r="L44" s="6"/>
      <c r="M44" s="6"/>
      <c r="N44" s="7">
        <f t="shared" si="5"/>
        <v>1665</v>
      </c>
    </row>
    <row r="45" spans="1:14" x14ac:dyDescent="0.3">
      <c r="A45" s="5" t="s">
        <v>57</v>
      </c>
      <c r="B45" s="7">
        <f>2830.5</f>
        <v>2830.5</v>
      </c>
      <c r="C45" s="7">
        <f>1055</f>
        <v>1055</v>
      </c>
      <c r="D45" s="7">
        <f>735</f>
        <v>735</v>
      </c>
      <c r="E45" s="7">
        <f>792</f>
        <v>792</v>
      </c>
      <c r="F45" s="7">
        <f>2394.5</f>
        <v>2394.5</v>
      </c>
      <c r="G45" s="7">
        <f>2238.5</f>
        <v>2238.5</v>
      </c>
      <c r="H45" s="7">
        <f>1779.5</f>
        <v>1779.5</v>
      </c>
      <c r="I45" s="7">
        <f>6559.97</f>
        <v>6559.97</v>
      </c>
      <c r="J45" s="7">
        <f>4970</f>
        <v>4970</v>
      </c>
      <c r="K45" s="7">
        <f>350.5</f>
        <v>350.5</v>
      </c>
      <c r="L45" s="7">
        <f>2338.5</f>
        <v>2338.5</v>
      </c>
      <c r="M45" s="7">
        <f>813.5</f>
        <v>813.5</v>
      </c>
      <c r="N45" s="7">
        <f t="shared" si="5"/>
        <v>26857.47</v>
      </c>
    </row>
    <row r="46" spans="1:14" x14ac:dyDescent="0.3">
      <c r="A46" s="5" t="s">
        <v>131</v>
      </c>
      <c r="B46" s="6"/>
      <c r="C46" s="6"/>
      <c r="D46" s="6"/>
      <c r="E46" s="6"/>
      <c r="F46" s="6"/>
      <c r="G46" s="6"/>
      <c r="H46" s="7">
        <f>4000</f>
        <v>4000</v>
      </c>
      <c r="I46" s="6"/>
      <c r="J46" s="7">
        <f>593</f>
        <v>593</v>
      </c>
      <c r="K46" s="7">
        <f>660</f>
        <v>660</v>
      </c>
      <c r="L46" s="7">
        <f>2059</f>
        <v>2059</v>
      </c>
      <c r="M46" s="7">
        <f>343</f>
        <v>343</v>
      </c>
      <c r="N46" s="7">
        <f t="shared" si="5"/>
        <v>7655</v>
      </c>
    </row>
    <row r="47" spans="1:14" x14ac:dyDescent="0.3">
      <c r="A47" s="5" t="s">
        <v>97</v>
      </c>
      <c r="B47" s="6"/>
      <c r="C47" s="6"/>
      <c r="D47" s="6"/>
      <c r="E47" s="6"/>
      <c r="F47" s="6"/>
      <c r="G47" s="6"/>
      <c r="H47" s="6"/>
      <c r="I47" s="6"/>
      <c r="J47" s="7">
        <f>9483.34</f>
        <v>9483.34</v>
      </c>
      <c r="K47" s="7">
        <f>10469.98</f>
        <v>10469.98</v>
      </c>
      <c r="L47" s="7">
        <f>8905.02</f>
        <v>8905.02</v>
      </c>
      <c r="M47" s="7">
        <f>8772.92</f>
        <v>8772.92</v>
      </c>
      <c r="N47" s="7">
        <f t="shared" si="5"/>
        <v>37631.26</v>
      </c>
    </row>
    <row r="48" spans="1:14" x14ac:dyDescent="0.3">
      <c r="A48" s="5" t="s">
        <v>58</v>
      </c>
      <c r="B48" s="8">
        <f t="shared" ref="B48:M48" si="9">(((((B42)+(B43))+(B44))+(B45))+(B46))+(B47)</f>
        <v>6719.63</v>
      </c>
      <c r="C48" s="8">
        <f t="shared" si="9"/>
        <v>5992.5</v>
      </c>
      <c r="D48" s="8">
        <f t="shared" si="9"/>
        <v>5352.45</v>
      </c>
      <c r="E48" s="8">
        <f t="shared" si="9"/>
        <v>6039.5</v>
      </c>
      <c r="F48" s="8">
        <f t="shared" si="9"/>
        <v>7880.5</v>
      </c>
      <c r="G48" s="8">
        <f t="shared" si="9"/>
        <v>7051.5</v>
      </c>
      <c r="H48" s="8">
        <f t="shared" si="9"/>
        <v>11377.5</v>
      </c>
      <c r="I48" s="8">
        <f t="shared" si="9"/>
        <v>12775.470000000001</v>
      </c>
      <c r="J48" s="8">
        <f t="shared" si="9"/>
        <v>19929.84</v>
      </c>
      <c r="K48" s="8">
        <f t="shared" si="9"/>
        <v>16627.43</v>
      </c>
      <c r="L48" s="8">
        <f t="shared" si="9"/>
        <v>21352.67</v>
      </c>
      <c r="M48" s="8">
        <f t="shared" si="9"/>
        <v>19402.72</v>
      </c>
      <c r="N48" s="8">
        <f t="shared" si="5"/>
        <v>140501.71000000002</v>
      </c>
    </row>
    <row r="49" spans="1:14" x14ac:dyDescent="0.3">
      <c r="A49" s="5" t="s">
        <v>59</v>
      </c>
      <c r="B49" s="7">
        <f>1347.36</f>
        <v>1347.36</v>
      </c>
      <c r="C49" s="7">
        <f>2009.36</f>
        <v>2009.36</v>
      </c>
      <c r="D49" s="7">
        <f>2753.67</f>
        <v>2753.67</v>
      </c>
      <c r="E49" s="7">
        <f>5937.48</f>
        <v>5937.48</v>
      </c>
      <c r="F49" s="7">
        <f>4820.7</f>
        <v>4820.7</v>
      </c>
      <c r="G49" s="7">
        <f>2420.27</f>
        <v>2420.27</v>
      </c>
      <c r="H49" s="7">
        <f>4662.81</f>
        <v>4662.8100000000004</v>
      </c>
      <c r="I49" s="7">
        <f>4105.83</f>
        <v>4105.83</v>
      </c>
      <c r="J49" s="7">
        <f>5604.3</f>
        <v>5604.3</v>
      </c>
      <c r="K49" s="7">
        <f>4356.46</f>
        <v>4356.46</v>
      </c>
      <c r="L49" s="7">
        <f>5002.82</f>
        <v>5002.82</v>
      </c>
      <c r="M49" s="7">
        <f>4765.81</f>
        <v>4765.8100000000004</v>
      </c>
      <c r="N49" s="7">
        <f t="shared" si="5"/>
        <v>47786.87</v>
      </c>
    </row>
    <row r="50" spans="1:14" x14ac:dyDescent="0.3">
      <c r="A50" s="5" t="s">
        <v>60</v>
      </c>
      <c r="B50" s="7">
        <f>15253</f>
        <v>15253</v>
      </c>
      <c r="C50" s="7">
        <f>15093</f>
        <v>15093</v>
      </c>
      <c r="D50" s="7">
        <f>15788</f>
        <v>15788</v>
      </c>
      <c r="E50" s="7">
        <f>15873</f>
        <v>15873</v>
      </c>
      <c r="F50" s="7">
        <f>17526.35</f>
        <v>17526.349999999999</v>
      </c>
      <c r="G50" s="7">
        <f>16462</f>
        <v>16462</v>
      </c>
      <c r="H50" s="7">
        <f>17309.77</f>
        <v>17309.77</v>
      </c>
      <c r="I50" s="7">
        <f>16234.01</f>
        <v>16234.01</v>
      </c>
      <c r="J50" s="7">
        <f>16133</f>
        <v>16133</v>
      </c>
      <c r="K50" s="7">
        <f>16133</f>
        <v>16133</v>
      </c>
      <c r="L50" s="7">
        <f>16133</f>
        <v>16133</v>
      </c>
      <c r="M50" s="7">
        <f>16133</f>
        <v>16133</v>
      </c>
      <c r="N50" s="7">
        <f t="shared" si="5"/>
        <v>194071.13</v>
      </c>
    </row>
    <row r="51" spans="1:14" x14ac:dyDescent="0.3">
      <c r="A51" s="5" t="s">
        <v>61</v>
      </c>
      <c r="B51" s="7">
        <f>9038.22</f>
        <v>9038.2199999999993</v>
      </c>
      <c r="C51" s="7">
        <f>9098.84</f>
        <v>9098.84</v>
      </c>
      <c r="D51" s="7">
        <f>8821.39</f>
        <v>8821.39</v>
      </c>
      <c r="E51" s="7">
        <f>7785.25</f>
        <v>7785.25</v>
      </c>
      <c r="F51" s="7">
        <f>7508.09</f>
        <v>7508.09</v>
      </c>
      <c r="G51" s="7">
        <f>8318.95</f>
        <v>8318.9500000000007</v>
      </c>
      <c r="H51" s="7">
        <f>9451.26</f>
        <v>9451.26</v>
      </c>
      <c r="I51" s="7">
        <f>8996.5</f>
        <v>8996.5</v>
      </c>
      <c r="J51" s="7">
        <f>13292.74</f>
        <v>13292.74</v>
      </c>
      <c r="K51" s="7">
        <f>9111.72</f>
        <v>9111.7199999999993</v>
      </c>
      <c r="L51" s="7">
        <f>10443.63</f>
        <v>10443.629999999999</v>
      </c>
      <c r="M51" s="7">
        <f>7925.42</f>
        <v>7925.42</v>
      </c>
      <c r="N51" s="7">
        <f t="shared" si="5"/>
        <v>109792.01000000001</v>
      </c>
    </row>
    <row r="52" spans="1:14" x14ac:dyDescent="0.3">
      <c r="A52" s="5" t="s">
        <v>62</v>
      </c>
      <c r="B52" s="7">
        <f>35.07</f>
        <v>35.07</v>
      </c>
      <c r="C52" s="7">
        <f>2204.95</f>
        <v>2204.9499999999998</v>
      </c>
      <c r="D52" s="6"/>
      <c r="E52" s="6"/>
      <c r="F52" s="7">
        <f>6684</f>
        <v>6684</v>
      </c>
      <c r="G52" s="7">
        <f>6772.85</f>
        <v>6772.85</v>
      </c>
      <c r="H52" s="7">
        <f>6023.86</f>
        <v>6023.86</v>
      </c>
      <c r="I52" s="7">
        <f>5969.76</f>
        <v>5969.76</v>
      </c>
      <c r="J52" s="7">
        <f>12041.71</f>
        <v>12041.71</v>
      </c>
      <c r="K52" s="7">
        <f>7146.54</f>
        <v>7146.54</v>
      </c>
      <c r="L52" s="7">
        <f>5727.21</f>
        <v>5727.21</v>
      </c>
      <c r="M52" s="7">
        <f>16920.62</f>
        <v>16920.62</v>
      </c>
      <c r="N52" s="7">
        <f t="shared" si="5"/>
        <v>69526.569999999992</v>
      </c>
    </row>
    <row r="53" spans="1:14" x14ac:dyDescent="0.3">
      <c r="A53" s="5" t="s">
        <v>63</v>
      </c>
      <c r="B53" s="6"/>
      <c r="C53" s="6"/>
      <c r="D53" s="7">
        <f>2468.63</f>
        <v>2468.63</v>
      </c>
      <c r="E53" s="6"/>
      <c r="F53" s="6"/>
      <c r="G53" s="6"/>
      <c r="H53" s="6"/>
      <c r="I53" s="6"/>
      <c r="J53" s="6"/>
      <c r="K53" s="7">
        <f>556.85</f>
        <v>556.85</v>
      </c>
      <c r="L53" s="6"/>
      <c r="M53" s="6"/>
      <c r="N53" s="7">
        <f t="shared" si="5"/>
        <v>3025.48</v>
      </c>
    </row>
    <row r="54" spans="1:14" x14ac:dyDescent="0.3">
      <c r="A54" s="5" t="s">
        <v>64</v>
      </c>
      <c r="B54" s="7">
        <f>927.58</f>
        <v>927.58</v>
      </c>
      <c r="C54" s="7">
        <f>4435.11</f>
        <v>4435.1099999999997</v>
      </c>
      <c r="D54" s="7">
        <f>3231.72</f>
        <v>3231.72</v>
      </c>
      <c r="E54" s="7">
        <f>2121.78</f>
        <v>2121.7800000000002</v>
      </c>
      <c r="F54" s="7">
        <f>1862.34</f>
        <v>1862.34</v>
      </c>
      <c r="G54" s="7">
        <f>3216.11</f>
        <v>3216.11</v>
      </c>
      <c r="H54" s="7">
        <f>4368.58</f>
        <v>4368.58</v>
      </c>
      <c r="I54" s="7">
        <f>366.35</f>
        <v>366.35</v>
      </c>
      <c r="J54" s="7">
        <f>2496.55</f>
        <v>2496.5500000000002</v>
      </c>
      <c r="K54" s="7">
        <f>4440.67</f>
        <v>4440.67</v>
      </c>
      <c r="L54" s="7">
        <f>3961.22</f>
        <v>3961.22</v>
      </c>
      <c r="M54" s="7">
        <f>4031.97</f>
        <v>4031.97</v>
      </c>
      <c r="N54" s="7">
        <f t="shared" si="5"/>
        <v>35459.980000000003</v>
      </c>
    </row>
    <row r="55" spans="1:14" x14ac:dyDescent="0.3">
      <c r="A55" s="5" t="s">
        <v>65</v>
      </c>
      <c r="B55" s="7">
        <f>602.9</f>
        <v>602.9</v>
      </c>
      <c r="C55" s="7">
        <f>221.21</f>
        <v>221.21</v>
      </c>
      <c r="D55" s="7">
        <f>2074.19</f>
        <v>2074.19</v>
      </c>
      <c r="E55" s="7">
        <f>1170.9</f>
        <v>1170.9000000000001</v>
      </c>
      <c r="F55" s="7">
        <f>933.9</f>
        <v>933.9</v>
      </c>
      <c r="G55" s="7">
        <f>1473.43</f>
        <v>1473.43</v>
      </c>
      <c r="H55" s="7">
        <f>1195.04</f>
        <v>1195.04</v>
      </c>
      <c r="I55" s="7">
        <f>975.83</f>
        <v>975.83</v>
      </c>
      <c r="J55" s="7">
        <f>1978.34</f>
        <v>1978.34</v>
      </c>
      <c r="K55" s="7">
        <f>324.12</f>
        <v>324.12</v>
      </c>
      <c r="L55" s="7">
        <f>597.41</f>
        <v>597.41</v>
      </c>
      <c r="M55" s="7">
        <f>267.44</f>
        <v>267.44</v>
      </c>
      <c r="N55" s="7">
        <f t="shared" si="5"/>
        <v>11814.710000000003</v>
      </c>
    </row>
    <row r="56" spans="1:14" x14ac:dyDescent="0.3">
      <c r="A56" s="5" t="s">
        <v>66</v>
      </c>
      <c r="B56" s="8">
        <f t="shared" ref="B56:M56" si="10">(B54)+(B55)</f>
        <v>1530.48</v>
      </c>
      <c r="C56" s="8">
        <f t="shared" si="10"/>
        <v>4656.32</v>
      </c>
      <c r="D56" s="8">
        <f t="shared" si="10"/>
        <v>5305.91</v>
      </c>
      <c r="E56" s="8">
        <f t="shared" si="10"/>
        <v>3292.6800000000003</v>
      </c>
      <c r="F56" s="8">
        <f t="shared" si="10"/>
        <v>2796.24</v>
      </c>
      <c r="G56" s="8">
        <f t="shared" si="10"/>
        <v>4689.54</v>
      </c>
      <c r="H56" s="8">
        <f t="shared" si="10"/>
        <v>5563.62</v>
      </c>
      <c r="I56" s="8">
        <f t="shared" si="10"/>
        <v>1342.18</v>
      </c>
      <c r="J56" s="8">
        <f t="shared" si="10"/>
        <v>4474.8900000000003</v>
      </c>
      <c r="K56" s="8">
        <f t="shared" si="10"/>
        <v>4764.79</v>
      </c>
      <c r="L56" s="8">
        <f t="shared" si="10"/>
        <v>4558.63</v>
      </c>
      <c r="M56" s="8">
        <f t="shared" si="10"/>
        <v>4299.41</v>
      </c>
      <c r="N56" s="8">
        <f t="shared" si="5"/>
        <v>47274.69</v>
      </c>
    </row>
    <row r="57" spans="1:14" x14ac:dyDescent="0.3">
      <c r="A57" s="5" t="s">
        <v>67</v>
      </c>
      <c r="B57" s="7">
        <f>3702.23</f>
        <v>3702.23</v>
      </c>
      <c r="C57" s="7">
        <f>3940.18</f>
        <v>3940.18</v>
      </c>
      <c r="D57" s="7">
        <f>3766.42</f>
        <v>3766.42</v>
      </c>
      <c r="E57" s="7">
        <f>3531.6</f>
        <v>3531.6</v>
      </c>
      <c r="F57" s="7">
        <f>3987.41</f>
        <v>3987.41</v>
      </c>
      <c r="G57" s="7">
        <f>4132.34</f>
        <v>4132.34</v>
      </c>
      <c r="H57" s="7">
        <f>4159.7</f>
        <v>4159.7</v>
      </c>
      <c r="I57" s="7">
        <f>4803.58</f>
        <v>4803.58</v>
      </c>
      <c r="J57" s="7">
        <f>8713.31</f>
        <v>8713.31</v>
      </c>
      <c r="K57" s="7">
        <f>3650.26</f>
        <v>3650.26</v>
      </c>
      <c r="L57" s="7">
        <f>4807.82</f>
        <v>4807.82</v>
      </c>
      <c r="M57" s="7">
        <f>4462.85</f>
        <v>4462.8500000000004</v>
      </c>
      <c r="N57" s="7">
        <f t="shared" si="5"/>
        <v>53657.7</v>
      </c>
    </row>
    <row r="58" spans="1:14" x14ac:dyDescent="0.3">
      <c r="A58" s="5" t="s">
        <v>68</v>
      </c>
      <c r="B58" s="7">
        <f>5778.36</f>
        <v>5778.36</v>
      </c>
      <c r="C58" s="7">
        <f>5834.77</f>
        <v>5834.77</v>
      </c>
      <c r="D58" s="7">
        <f>6045.34</f>
        <v>6045.34</v>
      </c>
      <c r="E58" s="7">
        <f>11394.86</f>
        <v>11394.86</v>
      </c>
      <c r="F58" s="7">
        <f>3359.91</f>
        <v>3359.91</v>
      </c>
      <c r="G58" s="7">
        <f>2815.36</f>
        <v>2815.36</v>
      </c>
      <c r="H58" s="7">
        <f>10689.04</f>
        <v>10689.04</v>
      </c>
      <c r="I58" s="7">
        <f>3704.03</f>
        <v>3704.03</v>
      </c>
      <c r="J58" s="7">
        <f>4788.71</f>
        <v>4788.71</v>
      </c>
      <c r="K58" s="7">
        <f>5781.88</f>
        <v>5781.88</v>
      </c>
      <c r="L58" s="7">
        <f>2357.42</f>
        <v>2357.42</v>
      </c>
      <c r="M58" s="7">
        <f>2988.6</f>
        <v>2988.6</v>
      </c>
      <c r="N58" s="7">
        <f t="shared" si="5"/>
        <v>65538.28</v>
      </c>
    </row>
    <row r="59" spans="1:14" x14ac:dyDescent="0.3">
      <c r="A59" s="5" t="s">
        <v>69</v>
      </c>
      <c r="B59" s="8">
        <f t="shared" ref="B59:M59" si="11">(((((((((((((((B28)+(B31))+(B32))+(B33))+(B34))+(B38))+(B41))+(B48))+(B49))+(B50))+(B51))+(B52))+(B53))+(B56))+(B57))+(B58)</f>
        <v>56550.360000000008</v>
      </c>
      <c r="C59" s="8">
        <f t="shared" si="11"/>
        <v>51604.430000000008</v>
      </c>
      <c r="D59" s="8">
        <f t="shared" si="11"/>
        <v>66961.549999999988</v>
      </c>
      <c r="E59" s="8">
        <f t="shared" si="11"/>
        <v>81043.720000000016</v>
      </c>
      <c r="F59" s="8">
        <f t="shared" si="11"/>
        <v>72569.179999999993</v>
      </c>
      <c r="G59" s="8">
        <f t="shared" si="11"/>
        <v>63747.619999999995</v>
      </c>
      <c r="H59" s="8">
        <f t="shared" si="11"/>
        <v>77761.72</v>
      </c>
      <c r="I59" s="8">
        <f t="shared" si="11"/>
        <v>62673.290000000008</v>
      </c>
      <c r="J59" s="8">
        <f t="shared" si="11"/>
        <v>90691.87</v>
      </c>
      <c r="K59" s="8">
        <f t="shared" si="11"/>
        <v>72012.639999999999</v>
      </c>
      <c r="L59" s="8">
        <f t="shared" si="11"/>
        <v>74460.939999999988</v>
      </c>
      <c r="M59" s="8">
        <f t="shared" si="11"/>
        <v>78499.160000000018</v>
      </c>
      <c r="N59" s="8">
        <f t="shared" si="5"/>
        <v>848576.48</v>
      </c>
    </row>
    <row r="60" spans="1:14" x14ac:dyDescent="0.3">
      <c r="A60" s="5" t="s">
        <v>70</v>
      </c>
      <c r="B60" s="7">
        <f>765.82</f>
        <v>765.82</v>
      </c>
      <c r="C60" s="6"/>
      <c r="D60" s="6"/>
      <c r="E60" s="7">
        <f>2103</f>
        <v>2103</v>
      </c>
      <c r="F60" s="7">
        <f>1555.09</f>
        <v>1555.09</v>
      </c>
      <c r="G60" s="6"/>
      <c r="H60" s="6"/>
      <c r="I60" s="6"/>
      <c r="J60" s="7">
        <f>1555.09</f>
        <v>1555.09</v>
      </c>
      <c r="K60" s="6"/>
      <c r="L60" s="6"/>
      <c r="M60" s="6"/>
      <c r="N60" s="7">
        <f t="shared" si="5"/>
        <v>5979</v>
      </c>
    </row>
    <row r="61" spans="1:14" x14ac:dyDescent="0.3">
      <c r="A61" s="5" t="s">
        <v>71</v>
      </c>
      <c r="B61" s="7">
        <f>27817.97</f>
        <v>27817.97</v>
      </c>
      <c r="C61" s="7">
        <f>37527.48</f>
        <v>37527.480000000003</v>
      </c>
      <c r="D61" s="7">
        <f>31594.82</f>
        <v>31594.82</v>
      </c>
      <c r="E61" s="7">
        <f>40128.85</f>
        <v>40128.85</v>
      </c>
      <c r="F61" s="7">
        <f>38838.38</f>
        <v>38838.379999999997</v>
      </c>
      <c r="G61" s="6"/>
      <c r="H61" s="6"/>
      <c r="I61" s="6"/>
      <c r="J61" s="6"/>
      <c r="K61" s="6"/>
      <c r="L61" s="6"/>
      <c r="M61" s="6"/>
      <c r="N61" s="7">
        <f t="shared" si="5"/>
        <v>175907.5</v>
      </c>
    </row>
    <row r="62" spans="1:14" x14ac:dyDescent="0.3">
      <c r="A62" s="5" t="s">
        <v>72</v>
      </c>
      <c r="B62" s="7">
        <f>40</f>
        <v>40</v>
      </c>
      <c r="C62" s="7">
        <f>38</f>
        <v>38</v>
      </c>
      <c r="D62" s="7">
        <f>41</f>
        <v>41</v>
      </c>
      <c r="E62" s="7">
        <f>49</f>
        <v>49</v>
      </c>
      <c r="F62" s="7">
        <f>1027</f>
        <v>1027</v>
      </c>
      <c r="G62" s="7">
        <f>1526</f>
        <v>1526</v>
      </c>
      <c r="H62" s="7">
        <f>35</f>
        <v>35</v>
      </c>
      <c r="I62" s="7">
        <f>19</f>
        <v>19</v>
      </c>
      <c r="J62" s="7">
        <f>2</f>
        <v>2</v>
      </c>
      <c r="K62" s="6"/>
      <c r="L62" s="6"/>
      <c r="M62" s="6"/>
      <c r="N62" s="7">
        <f t="shared" si="5"/>
        <v>2777</v>
      </c>
    </row>
    <row r="63" spans="1:14" x14ac:dyDescent="0.3">
      <c r="A63" s="5" t="s">
        <v>73</v>
      </c>
      <c r="B63" s="7">
        <f>14502.12</f>
        <v>14502.12</v>
      </c>
      <c r="C63" s="7">
        <f>15502.12</f>
        <v>15502.12</v>
      </c>
      <c r="D63" s="7">
        <f>17002.12</f>
        <v>17002.12</v>
      </c>
      <c r="E63" s="7">
        <f>31333.08</f>
        <v>31333.08</v>
      </c>
      <c r="F63" s="7">
        <f>23513.88</f>
        <v>23513.88</v>
      </c>
      <c r="G63" s="7">
        <f>19417.02</f>
        <v>19417.02</v>
      </c>
      <c r="H63" s="7">
        <f>27524</f>
        <v>27524</v>
      </c>
      <c r="I63" s="7">
        <f>32812.12</f>
        <v>32812.120000000003</v>
      </c>
      <c r="J63" s="7">
        <f>45163</f>
        <v>45163</v>
      </c>
      <c r="K63" s="7">
        <f>16384.9</f>
        <v>16384.900000000001</v>
      </c>
      <c r="L63" s="7">
        <f>15002.12</f>
        <v>15002.12</v>
      </c>
      <c r="M63" s="7">
        <f>18066</f>
        <v>18066</v>
      </c>
      <c r="N63" s="7">
        <f t="shared" si="5"/>
        <v>276222.48</v>
      </c>
    </row>
    <row r="64" spans="1:14" x14ac:dyDescent="0.3">
      <c r="A64" s="5" t="s">
        <v>74</v>
      </c>
      <c r="B64" s="6"/>
      <c r="C64" s="7">
        <f>210</f>
        <v>210</v>
      </c>
      <c r="D64" s="6"/>
      <c r="E64" s="6"/>
      <c r="F64" s="6"/>
      <c r="G64" s="6"/>
      <c r="H64" s="6"/>
      <c r="I64" s="6"/>
      <c r="J64" s="6"/>
      <c r="K64" s="6"/>
      <c r="L64" s="6"/>
      <c r="M64" s="6"/>
      <c r="N64" s="7">
        <f t="shared" si="5"/>
        <v>210</v>
      </c>
    </row>
    <row r="65" spans="1:14" x14ac:dyDescent="0.3">
      <c r="A65" s="5" t="s">
        <v>207</v>
      </c>
      <c r="B65" s="6"/>
      <c r="C65" s="6"/>
      <c r="D65" s="7">
        <f>200</f>
        <v>200</v>
      </c>
      <c r="E65" s="7">
        <f>4376</f>
        <v>4376</v>
      </c>
      <c r="F65" s="7">
        <f>1180.5</f>
        <v>1180.5</v>
      </c>
      <c r="G65" s="7">
        <f>1456</f>
        <v>1456</v>
      </c>
      <c r="H65" s="7">
        <f>5690</f>
        <v>5690</v>
      </c>
      <c r="I65" s="7">
        <f>5068</f>
        <v>5068</v>
      </c>
      <c r="J65" s="7">
        <f>2864.5</f>
        <v>2864.5</v>
      </c>
      <c r="K65" s="7">
        <f>6217.5</f>
        <v>6217.5</v>
      </c>
      <c r="L65" s="7">
        <f>1798.5</f>
        <v>1798.5</v>
      </c>
      <c r="M65" s="6"/>
      <c r="N65" s="7">
        <f t="shared" si="5"/>
        <v>28851</v>
      </c>
    </row>
    <row r="66" spans="1:14" x14ac:dyDescent="0.3">
      <c r="A66" s="5" t="s">
        <v>75</v>
      </c>
      <c r="B66" s="7">
        <f>190064.45</f>
        <v>190064.45</v>
      </c>
      <c r="C66" s="7">
        <f>192001.19</f>
        <v>192001.19</v>
      </c>
      <c r="D66" s="7">
        <f>256941.39</f>
        <v>256941.39</v>
      </c>
      <c r="E66" s="7">
        <f>236417.1</f>
        <v>236417.1</v>
      </c>
      <c r="F66" s="7">
        <f>164021.27</f>
        <v>164021.26999999999</v>
      </c>
      <c r="G66" s="7">
        <f>314605.94</f>
        <v>314605.94</v>
      </c>
      <c r="H66" s="7">
        <f>325613.03</f>
        <v>325613.03000000003</v>
      </c>
      <c r="I66" s="7">
        <f>285465.45</f>
        <v>285465.45</v>
      </c>
      <c r="J66" s="7">
        <f>346161.45</f>
        <v>346161.45</v>
      </c>
      <c r="K66" s="7">
        <f>259046.22</f>
        <v>259046.22</v>
      </c>
      <c r="L66" s="7">
        <f>293925.19</f>
        <v>293925.19</v>
      </c>
      <c r="M66" s="7">
        <f>285176.41</f>
        <v>285176.40999999997</v>
      </c>
      <c r="N66" s="7">
        <f t="shared" si="5"/>
        <v>3149439.0900000003</v>
      </c>
    </row>
    <row r="67" spans="1:14" x14ac:dyDescent="0.3">
      <c r="A67" s="5" t="s">
        <v>76</v>
      </c>
      <c r="B67" s="7">
        <f>3404.14</f>
        <v>3404.14</v>
      </c>
      <c r="C67" s="7">
        <f>3006.14</f>
        <v>3006.14</v>
      </c>
      <c r="D67" s="7">
        <f>3723.14</f>
        <v>3723.14</v>
      </c>
      <c r="E67" s="7">
        <f>3395.87</f>
        <v>3395.87</v>
      </c>
      <c r="F67" s="7">
        <f>3333.67</f>
        <v>3333.67</v>
      </c>
      <c r="G67" s="7">
        <f>5995.57</f>
        <v>5995.57</v>
      </c>
      <c r="H67" s="7">
        <f>7912.57</f>
        <v>7912.57</v>
      </c>
      <c r="I67" s="7">
        <f>8644.57</f>
        <v>8644.57</v>
      </c>
      <c r="J67" s="7">
        <f>8044.57</f>
        <v>8044.57</v>
      </c>
      <c r="K67" s="7">
        <f>9057.52</f>
        <v>9057.52</v>
      </c>
      <c r="L67" s="7">
        <f>6587.52</f>
        <v>6587.52</v>
      </c>
      <c r="M67" s="7">
        <f>9589.66</f>
        <v>9589.66</v>
      </c>
      <c r="N67" s="7">
        <f t="shared" si="5"/>
        <v>72694.94</v>
      </c>
    </row>
    <row r="68" spans="1:14" x14ac:dyDescent="0.3">
      <c r="A68" s="5" t="s">
        <v>77</v>
      </c>
      <c r="B68" s="6"/>
      <c r="C68" s="6"/>
      <c r="D68" s="6"/>
      <c r="E68" s="6"/>
      <c r="F68" s="6"/>
      <c r="G68" s="7">
        <f>750</f>
        <v>750</v>
      </c>
      <c r="H68" s="6"/>
      <c r="I68" s="7">
        <f>1692.17</f>
        <v>1692.17</v>
      </c>
      <c r="J68" s="6"/>
      <c r="K68" s="6"/>
      <c r="L68" s="6"/>
      <c r="M68" s="6"/>
      <c r="N68" s="7">
        <f t="shared" si="5"/>
        <v>2442.17</v>
      </c>
    </row>
    <row r="69" spans="1:14" x14ac:dyDescent="0.3">
      <c r="A69" s="5" t="s">
        <v>78</v>
      </c>
      <c r="B69" s="6"/>
      <c r="C69" s="6"/>
      <c r="D69" s="6"/>
      <c r="E69" s="7">
        <f>671.65</f>
        <v>671.65</v>
      </c>
      <c r="F69" s="7">
        <f>9865.42</f>
        <v>9865.42</v>
      </c>
      <c r="G69" s="7">
        <f>803.95</f>
        <v>803.95</v>
      </c>
      <c r="H69" s="6"/>
      <c r="I69" s="6"/>
      <c r="J69" s="6"/>
      <c r="K69" s="6"/>
      <c r="L69" s="6"/>
      <c r="M69" s="6"/>
      <c r="N69" s="7">
        <f t="shared" si="5"/>
        <v>11341.02</v>
      </c>
    </row>
    <row r="70" spans="1:14" x14ac:dyDescent="0.3">
      <c r="A70" s="5" t="s">
        <v>80</v>
      </c>
      <c r="B70" s="7">
        <f>6000</f>
        <v>6000</v>
      </c>
      <c r="C70" s="7">
        <f>5000</f>
        <v>5000</v>
      </c>
      <c r="D70" s="7">
        <f>4000</f>
        <v>4000</v>
      </c>
      <c r="E70" s="7">
        <f>4000</f>
        <v>4000</v>
      </c>
      <c r="F70" s="7">
        <f>4000</f>
        <v>4000</v>
      </c>
      <c r="G70" s="7">
        <f>1000</f>
        <v>1000</v>
      </c>
      <c r="H70" s="6"/>
      <c r="I70" s="6"/>
      <c r="J70" s="6"/>
      <c r="K70" s="6"/>
      <c r="L70" s="6"/>
      <c r="M70" s="6"/>
      <c r="N70" s="7">
        <f t="shared" si="5"/>
        <v>24000</v>
      </c>
    </row>
    <row r="71" spans="1:14" x14ac:dyDescent="0.3">
      <c r="A71" s="5" t="s">
        <v>81</v>
      </c>
      <c r="B71" s="7">
        <f>852.33</f>
        <v>852.33</v>
      </c>
      <c r="C71" s="7">
        <f>769.79</f>
        <v>769.79</v>
      </c>
      <c r="D71" s="7">
        <f>733.91</f>
        <v>733.91</v>
      </c>
      <c r="E71" s="7">
        <f>756.95</f>
        <v>756.95</v>
      </c>
      <c r="F71" s="7">
        <f>841.28</f>
        <v>841.28</v>
      </c>
      <c r="G71" s="7">
        <f>770.44</f>
        <v>770.44</v>
      </c>
      <c r="H71" s="7">
        <f>936.23</f>
        <v>936.23</v>
      </c>
      <c r="I71" s="7">
        <f>890.07</f>
        <v>890.07</v>
      </c>
      <c r="J71" s="7">
        <f>768.56</f>
        <v>768.56</v>
      </c>
      <c r="K71" s="7">
        <f>930.81</f>
        <v>930.81</v>
      </c>
      <c r="L71" s="7">
        <f>917.73</f>
        <v>917.73</v>
      </c>
      <c r="M71" s="7">
        <f>1005.45</f>
        <v>1005.45</v>
      </c>
      <c r="N71" s="7">
        <f t="shared" si="5"/>
        <v>10173.549999999997</v>
      </c>
    </row>
    <row r="72" spans="1:14" x14ac:dyDescent="0.3">
      <c r="A72" s="5" t="s">
        <v>82</v>
      </c>
      <c r="B72" s="8">
        <f t="shared" ref="B72:M72" si="12">((((((((((B61)+(B62))+(B63))+(B64))+(B65))+(B66))+(B67))+(B68))+(B69))+(B70))+(B71)</f>
        <v>242681.01</v>
      </c>
      <c r="C72" s="8">
        <f t="shared" si="12"/>
        <v>254054.72000000003</v>
      </c>
      <c r="D72" s="8">
        <f t="shared" si="12"/>
        <v>314236.38</v>
      </c>
      <c r="E72" s="8">
        <f t="shared" si="12"/>
        <v>321128.50000000006</v>
      </c>
      <c r="F72" s="8">
        <f t="shared" si="12"/>
        <v>246621.4</v>
      </c>
      <c r="G72" s="8">
        <f t="shared" si="12"/>
        <v>346324.92000000004</v>
      </c>
      <c r="H72" s="8">
        <f t="shared" si="12"/>
        <v>367710.83</v>
      </c>
      <c r="I72" s="8">
        <f t="shared" si="12"/>
        <v>334591.38</v>
      </c>
      <c r="J72" s="8">
        <f t="shared" si="12"/>
        <v>403004.08</v>
      </c>
      <c r="K72" s="8">
        <f t="shared" si="12"/>
        <v>291636.95</v>
      </c>
      <c r="L72" s="8">
        <f t="shared" si="12"/>
        <v>318231.06</v>
      </c>
      <c r="M72" s="8">
        <f t="shared" si="12"/>
        <v>313837.51999999996</v>
      </c>
      <c r="N72" s="8">
        <f t="shared" si="5"/>
        <v>3754058.7500000005</v>
      </c>
    </row>
    <row r="73" spans="1:14" x14ac:dyDescent="0.3">
      <c r="A73" s="5" t="s">
        <v>186</v>
      </c>
      <c r="B73" s="6"/>
      <c r="C73" s="6"/>
      <c r="D73" s="6"/>
      <c r="E73" s="6"/>
      <c r="F73" s="6"/>
      <c r="G73" s="6"/>
      <c r="H73" s="6"/>
      <c r="I73" s="6"/>
      <c r="J73" s="7">
        <f>59.56</f>
        <v>59.56</v>
      </c>
      <c r="K73" s="6"/>
      <c r="L73" s="6"/>
      <c r="M73" s="6"/>
      <c r="N73" s="7">
        <f t="shared" si="5"/>
        <v>59.56</v>
      </c>
    </row>
    <row r="74" spans="1:14" x14ac:dyDescent="0.3">
      <c r="A74" s="5" t="s">
        <v>83</v>
      </c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7">
        <f t="shared" si="5"/>
        <v>0</v>
      </c>
    </row>
    <row r="75" spans="1:14" x14ac:dyDescent="0.3">
      <c r="A75" s="5" t="s">
        <v>84</v>
      </c>
      <c r="B75" s="7">
        <f>11026.81</f>
        <v>11026.81</v>
      </c>
      <c r="C75" s="7">
        <f>16710.73</f>
        <v>16710.73</v>
      </c>
      <c r="D75" s="7">
        <f>11929.15</f>
        <v>11929.15</v>
      </c>
      <c r="E75" s="7">
        <f>10593.16</f>
        <v>10593.16</v>
      </c>
      <c r="F75" s="7">
        <f>11667.93</f>
        <v>11667.93</v>
      </c>
      <c r="G75" s="7">
        <f>11677.03</f>
        <v>11677.03</v>
      </c>
      <c r="H75" s="7">
        <f>15172.34</f>
        <v>15172.34</v>
      </c>
      <c r="I75" s="7">
        <f>16340.75</f>
        <v>16340.75</v>
      </c>
      <c r="J75" s="7">
        <f>18443.31</f>
        <v>18443.310000000001</v>
      </c>
      <c r="K75" s="7">
        <f>10238.1</f>
        <v>10238.1</v>
      </c>
      <c r="L75" s="7">
        <f>12075.11</f>
        <v>12075.11</v>
      </c>
      <c r="M75" s="7">
        <f>11690.77</f>
        <v>11690.77</v>
      </c>
      <c r="N75" s="7">
        <f t="shared" si="5"/>
        <v>157565.18999999997</v>
      </c>
    </row>
    <row r="76" spans="1:14" x14ac:dyDescent="0.3">
      <c r="A76" s="5" t="s">
        <v>85</v>
      </c>
      <c r="B76" s="7">
        <f>1501.03</f>
        <v>1501.03</v>
      </c>
      <c r="C76" s="7">
        <f>1302.87</f>
        <v>1302.8699999999999</v>
      </c>
      <c r="D76" s="7">
        <f>2556.47</f>
        <v>2556.4699999999998</v>
      </c>
      <c r="E76" s="7">
        <f>3437.52</f>
        <v>3437.52</v>
      </c>
      <c r="F76" s="7">
        <f>1303.59</f>
        <v>1303.5899999999999</v>
      </c>
      <c r="G76" s="7">
        <f>1359.9</f>
        <v>1359.9</v>
      </c>
      <c r="H76" s="7">
        <f>2150.68</f>
        <v>2150.6799999999998</v>
      </c>
      <c r="I76" s="7">
        <f>1597.31</f>
        <v>1597.31</v>
      </c>
      <c r="J76" s="7">
        <f>1655.54</f>
        <v>1655.54</v>
      </c>
      <c r="K76" s="7">
        <f>2119.01</f>
        <v>2119.0100000000002</v>
      </c>
      <c r="L76" s="7">
        <f>1668.19</f>
        <v>1668.19</v>
      </c>
      <c r="M76" s="7">
        <f>2000.09</f>
        <v>2000.09</v>
      </c>
      <c r="N76" s="7">
        <f t="shared" si="5"/>
        <v>22652.199999999997</v>
      </c>
    </row>
    <row r="77" spans="1:14" x14ac:dyDescent="0.3">
      <c r="A77" s="5" t="s">
        <v>86</v>
      </c>
      <c r="B77" s="7">
        <f>16432.31</f>
        <v>16432.310000000001</v>
      </c>
      <c r="C77" s="7">
        <f>18648.27</f>
        <v>18648.27</v>
      </c>
      <c r="D77" s="7">
        <f>19934.12</f>
        <v>19934.12</v>
      </c>
      <c r="E77" s="7">
        <f>25202.78</f>
        <v>25202.78</v>
      </c>
      <c r="F77" s="7">
        <f>32292.86</f>
        <v>32292.86</v>
      </c>
      <c r="G77" s="7">
        <f>26382.2</f>
        <v>26382.2</v>
      </c>
      <c r="H77" s="7">
        <f>27452.83</f>
        <v>27452.83</v>
      </c>
      <c r="I77" s="7">
        <f>28716.14</f>
        <v>28716.14</v>
      </c>
      <c r="J77" s="7">
        <f>24640.8</f>
        <v>24640.799999999999</v>
      </c>
      <c r="K77" s="7">
        <f>23203.78</f>
        <v>23203.78</v>
      </c>
      <c r="L77" s="7">
        <f>31617.86</f>
        <v>31617.86</v>
      </c>
      <c r="M77" s="7">
        <f>8428.55</f>
        <v>8428.5499999999993</v>
      </c>
      <c r="N77" s="7">
        <f t="shared" si="5"/>
        <v>282952.5</v>
      </c>
    </row>
    <row r="78" spans="1:14" x14ac:dyDescent="0.3">
      <c r="A78" s="5" t="s">
        <v>87</v>
      </c>
      <c r="B78" s="7">
        <f>0</f>
        <v>0</v>
      </c>
      <c r="C78" s="7">
        <f>0</f>
        <v>0</v>
      </c>
      <c r="D78" s="7">
        <f>0</f>
        <v>0</v>
      </c>
      <c r="E78" s="7">
        <f>0</f>
        <v>0</v>
      </c>
      <c r="F78" s="7">
        <f>0</f>
        <v>0</v>
      </c>
      <c r="G78" s="7">
        <f>0</f>
        <v>0</v>
      </c>
      <c r="H78" s="7">
        <f>0</f>
        <v>0</v>
      </c>
      <c r="I78" s="7">
        <f>0</f>
        <v>0</v>
      </c>
      <c r="J78" s="7">
        <f>0</f>
        <v>0</v>
      </c>
      <c r="K78" s="7">
        <f>0</f>
        <v>0</v>
      </c>
      <c r="L78" s="7">
        <f>0</f>
        <v>0</v>
      </c>
      <c r="M78" s="7">
        <f>0</f>
        <v>0</v>
      </c>
      <c r="N78" s="7">
        <f t="shared" si="5"/>
        <v>0</v>
      </c>
    </row>
    <row r="79" spans="1:14" x14ac:dyDescent="0.3">
      <c r="A79" s="5" t="s">
        <v>88</v>
      </c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7">
        <f t="shared" si="5"/>
        <v>0</v>
      </c>
    </row>
    <row r="80" spans="1:14" x14ac:dyDescent="0.3">
      <c r="A80" s="5" t="s">
        <v>89</v>
      </c>
      <c r="B80" s="7">
        <f>38380.11</f>
        <v>38380.11</v>
      </c>
      <c r="C80" s="7">
        <f>50731.97</f>
        <v>50731.97</v>
      </c>
      <c r="D80" s="7">
        <f>43927.27</f>
        <v>43927.27</v>
      </c>
      <c r="E80" s="7">
        <f>76030.13</f>
        <v>76030.13</v>
      </c>
      <c r="F80" s="7">
        <f>37779.93</f>
        <v>37779.93</v>
      </c>
      <c r="G80" s="7">
        <f>43874.02</f>
        <v>43874.02</v>
      </c>
      <c r="H80" s="7">
        <f>49543.39</f>
        <v>49543.39</v>
      </c>
      <c r="I80" s="7">
        <f>36374.06</f>
        <v>36374.06</v>
      </c>
      <c r="J80" s="7">
        <f>45083.38</f>
        <v>45083.38</v>
      </c>
      <c r="K80" s="7">
        <f>42819.26</f>
        <v>42819.26</v>
      </c>
      <c r="L80" s="7">
        <f>36979</f>
        <v>36979</v>
      </c>
      <c r="M80" s="7">
        <f>50808.18</f>
        <v>50808.18</v>
      </c>
      <c r="N80" s="7">
        <f t="shared" si="5"/>
        <v>552330.70000000007</v>
      </c>
    </row>
    <row r="81" spans="1:14" x14ac:dyDescent="0.3">
      <c r="A81" s="5" t="s">
        <v>90</v>
      </c>
      <c r="B81" s="7">
        <f>22615.4</f>
        <v>22615.4</v>
      </c>
      <c r="C81" s="7">
        <f>22615.4</f>
        <v>22615.4</v>
      </c>
      <c r="D81" s="7">
        <f>22615.4</f>
        <v>22615.4</v>
      </c>
      <c r="E81" s="7">
        <f>22615.4</f>
        <v>22615.4</v>
      </c>
      <c r="F81" s="7">
        <f>33923.1</f>
        <v>33923.1</v>
      </c>
      <c r="G81" s="7">
        <f>22615.4</f>
        <v>22615.4</v>
      </c>
      <c r="H81" s="7">
        <f>22615.4</f>
        <v>22615.4</v>
      </c>
      <c r="I81" s="7">
        <f>22615.4</f>
        <v>22615.4</v>
      </c>
      <c r="J81" s="7">
        <f>22615.4</f>
        <v>22615.4</v>
      </c>
      <c r="K81" s="7">
        <f>22615.4</f>
        <v>22615.4</v>
      </c>
      <c r="L81" s="7">
        <f>33923.1</f>
        <v>33923.1</v>
      </c>
      <c r="M81" s="7">
        <f>22615.4</f>
        <v>22615.4</v>
      </c>
      <c r="N81" s="7">
        <f t="shared" si="5"/>
        <v>294000.2</v>
      </c>
    </row>
    <row r="82" spans="1:14" x14ac:dyDescent="0.3">
      <c r="A82" s="5" t="s">
        <v>91</v>
      </c>
      <c r="B82" s="8">
        <f t="shared" ref="B82:M82" si="13">((B79)+(B80))+(B81)</f>
        <v>60995.51</v>
      </c>
      <c r="C82" s="8">
        <f t="shared" si="13"/>
        <v>73347.37</v>
      </c>
      <c r="D82" s="8">
        <f t="shared" si="13"/>
        <v>66542.67</v>
      </c>
      <c r="E82" s="8">
        <f t="shared" si="13"/>
        <v>98645.53</v>
      </c>
      <c r="F82" s="8">
        <f t="shared" si="13"/>
        <v>71703.03</v>
      </c>
      <c r="G82" s="8">
        <f t="shared" si="13"/>
        <v>66489.42</v>
      </c>
      <c r="H82" s="8">
        <f t="shared" si="13"/>
        <v>72158.790000000008</v>
      </c>
      <c r="I82" s="8">
        <f t="shared" si="13"/>
        <v>58989.46</v>
      </c>
      <c r="J82" s="8">
        <f t="shared" si="13"/>
        <v>67698.78</v>
      </c>
      <c r="K82" s="8">
        <f t="shared" si="13"/>
        <v>65434.66</v>
      </c>
      <c r="L82" s="8">
        <f t="shared" si="13"/>
        <v>70902.100000000006</v>
      </c>
      <c r="M82" s="8">
        <f t="shared" si="13"/>
        <v>73423.58</v>
      </c>
      <c r="N82" s="8">
        <f t="shared" si="5"/>
        <v>846330.89999999991</v>
      </c>
    </row>
    <row r="83" spans="1:14" x14ac:dyDescent="0.3">
      <c r="A83" s="5" t="s">
        <v>92</v>
      </c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7">
        <f t="shared" si="5"/>
        <v>0</v>
      </c>
    </row>
    <row r="84" spans="1:14" x14ac:dyDescent="0.3">
      <c r="A84" s="5" t="s">
        <v>93</v>
      </c>
      <c r="B84" s="7">
        <f>27830.71</f>
        <v>27830.71</v>
      </c>
      <c r="C84" s="7">
        <f>22698.97</f>
        <v>22698.97</v>
      </c>
      <c r="D84" s="7">
        <f>22535.83</f>
        <v>22535.83</v>
      </c>
      <c r="E84" s="7">
        <f>27358.98</f>
        <v>27358.98</v>
      </c>
      <c r="F84" s="7">
        <f>18402.43</f>
        <v>18402.43</v>
      </c>
      <c r="G84" s="7">
        <f>18600.48</f>
        <v>18600.48</v>
      </c>
      <c r="H84" s="7">
        <f>25853.15</f>
        <v>25853.15</v>
      </c>
      <c r="I84" s="7">
        <f>20941.96</f>
        <v>20941.96</v>
      </c>
      <c r="J84" s="7">
        <f>22551.32</f>
        <v>22551.32</v>
      </c>
      <c r="K84" s="7">
        <f>32028.14</f>
        <v>32028.14</v>
      </c>
      <c r="L84" s="7">
        <f>25123.61</f>
        <v>25123.61</v>
      </c>
      <c r="M84" s="7">
        <f>30252.09</f>
        <v>30252.09</v>
      </c>
      <c r="N84" s="7">
        <f t="shared" si="5"/>
        <v>294177.67000000004</v>
      </c>
    </row>
    <row r="85" spans="1:14" x14ac:dyDescent="0.3">
      <c r="A85" s="5" t="s">
        <v>94</v>
      </c>
      <c r="B85" s="8">
        <f t="shared" ref="B85:M85" si="14">(B83)+(B84)</f>
        <v>27830.71</v>
      </c>
      <c r="C85" s="8">
        <f t="shared" si="14"/>
        <v>22698.97</v>
      </c>
      <c r="D85" s="8">
        <f t="shared" si="14"/>
        <v>22535.83</v>
      </c>
      <c r="E85" s="8">
        <f t="shared" si="14"/>
        <v>27358.98</v>
      </c>
      <c r="F85" s="8">
        <f t="shared" si="14"/>
        <v>18402.43</v>
      </c>
      <c r="G85" s="8">
        <f t="shared" si="14"/>
        <v>18600.48</v>
      </c>
      <c r="H85" s="8">
        <f t="shared" si="14"/>
        <v>25853.15</v>
      </c>
      <c r="I85" s="8">
        <f t="shared" si="14"/>
        <v>20941.96</v>
      </c>
      <c r="J85" s="8">
        <f t="shared" si="14"/>
        <v>22551.32</v>
      </c>
      <c r="K85" s="8">
        <f t="shared" si="14"/>
        <v>32028.14</v>
      </c>
      <c r="L85" s="8">
        <f t="shared" si="14"/>
        <v>25123.61</v>
      </c>
      <c r="M85" s="8">
        <f t="shared" si="14"/>
        <v>30252.09</v>
      </c>
      <c r="N85" s="8">
        <f t="shared" si="5"/>
        <v>294177.67000000004</v>
      </c>
    </row>
    <row r="86" spans="1:14" x14ac:dyDescent="0.3">
      <c r="A86" s="5" t="s">
        <v>95</v>
      </c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7">
        <f t="shared" si="5"/>
        <v>0</v>
      </c>
    </row>
    <row r="87" spans="1:14" x14ac:dyDescent="0.3">
      <c r="A87" s="5" t="s">
        <v>89</v>
      </c>
      <c r="B87" s="7">
        <f>14158.75</f>
        <v>14158.75</v>
      </c>
      <c r="C87" s="7">
        <f>12255.37</f>
        <v>12255.37</v>
      </c>
      <c r="D87" s="7">
        <f>13058.78</f>
        <v>13058.78</v>
      </c>
      <c r="E87" s="7">
        <f>17070.51</f>
        <v>17070.509999999998</v>
      </c>
      <c r="F87" s="7">
        <f>13678.15</f>
        <v>13678.15</v>
      </c>
      <c r="G87" s="7">
        <f>15149.91</f>
        <v>15149.91</v>
      </c>
      <c r="H87" s="7">
        <f>17456.05</f>
        <v>17456.05</v>
      </c>
      <c r="I87" s="7">
        <f>14012.36</f>
        <v>14012.36</v>
      </c>
      <c r="J87" s="7">
        <f>14113.76</f>
        <v>14113.76</v>
      </c>
      <c r="K87" s="7">
        <f>18151.6</f>
        <v>18151.599999999999</v>
      </c>
      <c r="L87" s="7">
        <f>14503.88</f>
        <v>14503.88</v>
      </c>
      <c r="M87" s="7">
        <f>17610.89</f>
        <v>17610.89</v>
      </c>
      <c r="N87" s="7">
        <f t="shared" si="5"/>
        <v>181220.01</v>
      </c>
    </row>
    <row r="88" spans="1:14" x14ac:dyDescent="0.3">
      <c r="A88" s="5" t="s">
        <v>96</v>
      </c>
      <c r="B88" s="8">
        <f t="shared" ref="B88:M88" si="15">(B86)+(B87)</f>
        <v>14158.75</v>
      </c>
      <c r="C88" s="8">
        <f t="shared" si="15"/>
        <v>12255.37</v>
      </c>
      <c r="D88" s="8">
        <f t="shared" si="15"/>
        <v>13058.78</v>
      </c>
      <c r="E88" s="8">
        <f t="shared" si="15"/>
        <v>17070.509999999998</v>
      </c>
      <c r="F88" s="8">
        <f t="shared" si="15"/>
        <v>13678.15</v>
      </c>
      <c r="G88" s="8">
        <f t="shared" si="15"/>
        <v>15149.91</v>
      </c>
      <c r="H88" s="8">
        <f t="shared" si="15"/>
        <v>17456.05</v>
      </c>
      <c r="I88" s="8">
        <f t="shared" si="15"/>
        <v>14012.36</v>
      </c>
      <c r="J88" s="8">
        <f t="shared" si="15"/>
        <v>14113.76</v>
      </c>
      <c r="K88" s="8">
        <f t="shared" si="15"/>
        <v>18151.599999999999</v>
      </c>
      <c r="L88" s="8">
        <f t="shared" si="15"/>
        <v>14503.88</v>
      </c>
      <c r="M88" s="8">
        <f t="shared" si="15"/>
        <v>17610.89</v>
      </c>
      <c r="N88" s="8">
        <f t="shared" si="5"/>
        <v>181220.01</v>
      </c>
    </row>
    <row r="89" spans="1:14" x14ac:dyDescent="0.3">
      <c r="A89" s="5" t="s">
        <v>97</v>
      </c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7">
        <f>0</f>
        <v>0</v>
      </c>
      <c r="N89" s="7">
        <f t="shared" ref="N89:N100" si="16">(((((((((((B89)+(C89))+(D89))+(E89))+(F89))+(G89))+(H89))+(I89))+(J89))+(K89))+(L89))+(M89)</f>
        <v>0</v>
      </c>
    </row>
    <row r="90" spans="1:14" x14ac:dyDescent="0.3">
      <c r="A90" s="5" t="s">
        <v>89</v>
      </c>
      <c r="B90" s="7">
        <f>104974.46</f>
        <v>104974.46</v>
      </c>
      <c r="C90" s="7">
        <f>103066.18</f>
        <v>103066.18</v>
      </c>
      <c r="D90" s="7">
        <f>73880.15</f>
        <v>73880.149999999994</v>
      </c>
      <c r="E90" s="7">
        <f>14874.46</f>
        <v>14874.46</v>
      </c>
      <c r="F90" s="7">
        <f>2518.38</f>
        <v>2518.38</v>
      </c>
      <c r="G90" s="7">
        <f>50</f>
        <v>50</v>
      </c>
      <c r="H90" s="6"/>
      <c r="I90" s="7">
        <f>60</f>
        <v>60</v>
      </c>
      <c r="J90" s="6"/>
      <c r="K90" s="6"/>
      <c r="L90" s="6"/>
      <c r="M90" s="6"/>
      <c r="N90" s="7">
        <f t="shared" si="16"/>
        <v>299423.63000000006</v>
      </c>
    </row>
    <row r="91" spans="1:14" x14ac:dyDescent="0.3">
      <c r="A91" s="5" t="s">
        <v>90</v>
      </c>
      <c r="B91" s="7">
        <f>130569.76</f>
        <v>130569.76</v>
      </c>
      <c r="C91" s="7">
        <f>159570.94</f>
        <v>159570.94</v>
      </c>
      <c r="D91" s="7">
        <f>170231.03</f>
        <v>170231.03</v>
      </c>
      <c r="E91" s="7">
        <f>219525.41</f>
        <v>219525.41</v>
      </c>
      <c r="F91" s="7">
        <f>352852.58</f>
        <v>352852.58</v>
      </c>
      <c r="G91" s="7">
        <f>260853.62</f>
        <v>260853.62</v>
      </c>
      <c r="H91" s="7">
        <f>275060.23</f>
        <v>275060.23</v>
      </c>
      <c r="I91" s="7">
        <f>293349.25</f>
        <v>293349.25</v>
      </c>
      <c r="J91" s="7">
        <f>257177.14</f>
        <v>257177.14</v>
      </c>
      <c r="K91" s="7">
        <f>402849.43</f>
        <v>402849.43</v>
      </c>
      <c r="L91" s="7">
        <f>228659.18</f>
        <v>228659.18</v>
      </c>
      <c r="M91" s="7">
        <f>223835.85</f>
        <v>223835.85</v>
      </c>
      <c r="N91" s="7">
        <f t="shared" si="16"/>
        <v>2974534.4200000004</v>
      </c>
    </row>
    <row r="92" spans="1:14" x14ac:dyDescent="0.3">
      <c r="A92" s="5" t="s">
        <v>98</v>
      </c>
      <c r="B92" s="8">
        <f t="shared" ref="B92:M92" si="17">((B89)+(B90))+(B91)</f>
        <v>235544.22</v>
      </c>
      <c r="C92" s="8">
        <f t="shared" si="17"/>
        <v>262637.12</v>
      </c>
      <c r="D92" s="8">
        <f t="shared" si="17"/>
        <v>244111.18</v>
      </c>
      <c r="E92" s="8">
        <f t="shared" si="17"/>
        <v>234399.87</v>
      </c>
      <c r="F92" s="8">
        <f t="shared" si="17"/>
        <v>355370.96</v>
      </c>
      <c r="G92" s="8">
        <f t="shared" si="17"/>
        <v>260903.62</v>
      </c>
      <c r="H92" s="8">
        <f t="shared" si="17"/>
        <v>275060.23</v>
      </c>
      <c r="I92" s="8">
        <f t="shared" si="17"/>
        <v>293409.25</v>
      </c>
      <c r="J92" s="8">
        <f t="shared" si="17"/>
        <v>257177.14</v>
      </c>
      <c r="K92" s="8">
        <f t="shared" si="17"/>
        <v>402849.43</v>
      </c>
      <c r="L92" s="8">
        <f t="shared" si="17"/>
        <v>228659.18</v>
      </c>
      <c r="M92" s="8">
        <f t="shared" si="17"/>
        <v>223835.85</v>
      </c>
      <c r="N92" s="8">
        <f t="shared" si="16"/>
        <v>3273958.0500000007</v>
      </c>
    </row>
    <row r="93" spans="1:14" x14ac:dyDescent="0.3">
      <c r="A93" s="5" t="s">
        <v>99</v>
      </c>
      <c r="B93" s="8">
        <f t="shared" ref="B93:M93" si="18">((((B78)+(B82))+(B85))+(B88))+(B92)</f>
        <v>338529.19</v>
      </c>
      <c r="C93" s="8">
        <f t="shared" si="18"/>
        <v>370938.82999999996</v>
      </c>
      <c r="D93" s="8">
        <f t="shared" si="18"/>
        <v>346248.45999999996</v>
      </c>
      <c r="E93" s="8">
        <f t="shared" si="18"/>
        <v>377474.89</v>
      </c>
      <c r="F93" s="8">
        <f t="shared" si="18"/>
        <v>459154.57</v>
      </c>
      <c r="G93" s="8">
        <f t="shared" si="18"/>
        <v>361143.43</v>
      </c>
      <c r="H93" s="8">
        <f t="shared" si="18"/>
        <v>390528.22</v>
      </c>
      <c r="I93" s="8">
        <f t="shared" si="18"/>
        <v>387353.03</v>
      </c>
      <c r="J93" s="8">
        <f t="shared" si="18"/>
        <v>361541</v>
      </c>
      <c r="K93" s="8">
        <f t="shared" si="18"/>
        <v>518463.82999999996</v>
      </c>
      <c r="L93" s="8">
        <f t="shared" si="18"/>
        <v>339188.77</v>
      </c>
      <c r="M93" s="8">
        <f t="shared" si="18"/>
        <v>345122.41000000003</v>
      </c>
      <c r="N93" s="8">
        <f t="shared" si="16"/>
        <v>4595686.6300000008</v>
      </c>
    </row>
    <row r="94" spans="1:14" x14ac:dyDescent="0.3">
      <c r="A94" s="5" t="s">
        <v>100</v>
      </c>
      <c r="B94" s="8">
        <f t="shared" ref="B94:M94" si="19">((((B74)+(B75))+(B76))+(B77))+(B93)</f>
        <v>367489.34</v>
      </c>
      <c r="C94" s="8">
        <f t="shared" si="19"/>
        <v>407600.69999999995</v>
      </c>
      <c r="D94" s="8">
        <f t="shared" si="19"/>
        <v>380668.19999999995</v>
      </c>
      <c r="E94" s="8">
        <f t="shared" si="19"/>
        <v>416708.35000000003</v>
      </c>
      <c r="F94" s="8">
        <f t="shared" si="19"/>
        <v>504418.95</v>
      </c>
      <c r="G94" s="8">
        <f t="shared" si="19"/>
        <v>400562.56</v>
      </c>
      <c r="H94" s="8">
        <f t="shared" si="19"/>
        <v>435304.06999999995</v>
      </c>
      <c r="I94" s="8">
        <f t="shared" si="19"/>
        <v>434007.23000000004</v>
      </c>
      <c r="J94" s="8">
        <f t="shared" si="19"/>
        <v>406280.65</v>
      </c>
      <c r="K94" s="8">
        <f t="shared" si="19"/>
        <v>554024.72</v>
      </c>
      <c r="L94" s="8">
        <f t="shared" si="19"/>
        <v>384549.93000000005</v>
      </c>
      <c r="M94" s="8">
        <f t="shared" si="19"/>
        <v>367241.82</v>
      </c>
      <c r="N94" s="8">
        <f t="shared" si="16"/>
        <v>5058856.5199999996</v>
      </c>
    </row>
    <row r="95" spans="1:14" x14ac:dyDescent="0.3">
      <c r="A95" s="5" t="s">
        <v>208</v>
      </c>
      <c r="B95" s="6"/>
      <c r="C95" s="6"/>
      <c r="D95" s="6"/>
      <c r="E95" s="7">
        <f>140.83</f>
        <v>140.83000000000001</v>
      </c>
      <c r="F95" s="7">
        <f>211.84</f>
        <v>211.84</v>
      </c>
      <c r="G95" s="7">
        <f>205.04</f>
        <v>205.04</v>
      </c>
      <c r="H95" s="7">
        <f>213.36</f>
        <v>213.36</v>
      </c>
      <c r="I95" s="7">
        <f>329.45</f>
        <v>329.45</v>
      </c>
      <c r="J95" s="7">
        <f>70.17</f>
        <v>70.17</v>
      </c>
      <c r="K95" s="7">
        <f>440.98</f>
        <v>440.98</v>
      </c>
      <c r="L95" s="7">
        <f>147.3</f>
        <v>147.30000000000001</v>
      </c>
      <c r="M95" s="7">
        <f>221.49</f>
        <v>221.49</v>
      </c>
      <c r="N95" s="7">
        <f t="shared" si="16"/>
        <v>1980.46</v>
      </c>
    </row>
    <row r="96" spans="1:14" x14ac:dyDescent="0.3">
      <c r="A96" s="5" t="s">
        <v>102</v>
      </c>
      <c r="B96" s="6"/>
      <c r="C96" s="6"/>
      <c r="D96" s="6"/>
      <c r="E96" s="6"/>
      <c r="F96" s="6"/>
      <c r="G96" s="7">
        <f>460.24</f>
        <v>460.24</v>
      </c>
      <c r="H96" s="6"/>
      <c r="I96" s="7">
        <f>7265.49</f>
        <v>7265.49</v>
      </c>
      <c r="J96" s="6"/>
      <c r="K96" s="7">
        <f>1894.39</f>
        <v>1894.39</v>
      </c>
      <c r="L96" s="7">
        <f>1122.43</f>
        <v>1122.43</v>
      </c>
      <c r="M96" s="7">
        <f>2628.61</f>
        <v>2628.61</v>
      </c>
      <c r="N96" s="7">
        <f t="shared" si="16"/>
        <v>13371.16</v>
      </c>
    </row>
    <row r="97" spans="1:14" x14ac:dyDescent="0.3">
      <c r="A97" s="5" t="s">
        <v>209</v>
      </c>
      <c r="B97" s="6"/>
      <c r="C97" s="6"/>
      <c r="D97" s="6"/>
      <c r="E97" s="6"/>
      <c r="F97" s="6"/>
      <c r="G97" s="7">
        <f>941.32</f>
        <v>941.32</v>
      </c>
      <c r="H97" s="6"/>
      <c r="I97" s="6"/>
      <c r="J97" s="7">
        <f>388.72</f>
        <v>388.72</v>
      </c>
      <c r="K97" s="7">
        <f>1444.94</f>
        <v>1444.94</v>
      </c>
      <c r="L97" s="7">
        <f>194.36</f>
        <v>194.36</v>
      </c>
      <c r="M97" s="7">
        <f>194.36</f>
        <v>194.36</v>
      </c>
      <c r="N97" s="7">
        <f t="shared" si="16"/>
        <v>3163.7000000000003</v>
      </c>
    </row>
    <row r="98" spans="1:14" x14ac:dyDescent="0.3">
      <c r="A98" s="5" t="s">
        <v>210</v>
      </c>
      <c r="B98" s="6"/>
      <c r="C98" s="6"/>
      <c r="D98" s="6"/>
      <c r="E98" s="6"/>
      <c r="F98" s="6"/>
      <c r="G98" s="6"/>
      <c r="H98" s="6"/>
      <c r="I98" s="7">
        <f>-164.3</f>
        <v>-164.3</v>
      </c>
      <c r="J98" s="6"/>
      <c r="K98" s="7">
        <f>164.3</f>
        <v>164.3</v>
      </c>
      <c r="L98" s="6"/>
      <c r="M98" s="6"/>
      <c r="N98" s="7">
        <f t="shared" si="16"/>
        <v>0</v>
      </c>
    </row>
    <row r="99" spans="1:14" x14ac:dyDescent="0.3">
      <c r="A99" s="5" t="s">
        <v>103</v>
      </c>
      <c r="B99" s="8">
        <f t="shared" ref="B99:M99" si="20">(((((((((((B25)+(B26))+(B27))+(B59))+(B60))+(B72))+(B73))+(B94))+(B95))+(B96))+(B97))+(B98)</f>
        <v>667685.53</v>
      </c>
      <c r="C99" s="8">
        <f t="shared" si="20"/>
        <v>713284.15</v>
      </c>
      <c r="D99" s="8">
        <f t="shared" si="20"/>
        <v>762783.71</v>
      </c>
      <c r="E99" s="8">
        <f t="shared" si="20"/>
        <v>822124.4</v>
      </c>
      <c r="F99" s="8">
        <f t="shared" si="20"/>
        <v>825435.6</v>
      </c>
      <c r="G99" s="8">
        <f t="shared" si="20"/>
        <v>812297.46000000008</v>
      </c>
      <c r="H99" s="8">
        <f t="shared" si="20"/>
        <v>881361.52999999991</v>
      </c>
      <c r="I99" s="8">
        <f t="shared" si="20"/>
        <v>838740.1399999999</v>
      </c>
      <c r="J99" s="8">
        <f t="shared" si="20"/>
        <v>902080.44000000006</v>
      </c>
      <c r="K99" s="8">
        <f t="shared" si="20"/>
        <v>921802.98</v>
      </c>
      <c r="L99" s="8">
        <f t="shared" si="20"/>
        <v>778720.08000000007</v>
      </c>
      <c r="M99" s="8">
        <f t="shared" si="20"/>
        <v>762637.02</v>
      </c>
      <c r="N99" s="8">
        <f t="shared" si="16"/>
        <v>9688953.040000001</v>
      </c>
    </row>
    <row r="100" spans="1:14" x14ac:dyDescent="0.3">
      <c r="A100" s="5" t="s">
        <v>104</v>
      </c>
      <c r="B100" s="8">
        <f t="shared" ref="B100:M100" si="21">(B23)-(B99)</f>
        <v>106970.81999999983</v>
      </c>
      <c r="C100" s="8">
        <f t="shared" si="21"/>
        <v>6052.3699999997625</v>
      </c>
      <c r="D100" s="8">
        <f t="shared" si="21"/>
        <v>54665.840000000084</v>
      </c>
      <c r="E100" s="8">
        <f t="shared" si="21"/>
        <v>15514.499999999651</v>
      </c>
      <c r="F100" s="8">
        <f t="shared" si="21"/>
        <v>157664.85999999999</v>
      </c>
      <c r="G100" s="8">
        <f t="shared" si="21"/>
        <v>-62478.200000000303</v>
      </c>
      <c r="H100" s="8">
        <f t="shared" si="21"/>
        <v>126688.71999999986</v>
      </c>
      <c r="I100" s="8">
        <f t="shared" si="21"/>
        <v>-77056.519999999786</v>
      </c>
      <c r="J100" s="8">
        <f t="shared" si="21"/>
        <v>-210519.81999999972</v>
      </c>
      <c r="K100" s="8">
        <f t="shared" si="21"/>
        <v>205660.96999999997</v>
      </c>
      <c r="L100" s="8">
        <f t="shared" si="21"/>
        <v>-271179.30000000005</v>
      </c>
      <c r="M100" s="8">
        <f t="shared" si="21"/>
        <v>-177443.96999999997</v>
      </c>
      <c r="N100" s="8">
        <f t="shared" si="16"/>
        <v>-125459.73000000068</v>
      </c>
    </row>
    <row r="101" spans="1:14" x14ac:dyDescent="0.3">
      <c r="A101" s="5" t="s">
        <v>105</v>
      </c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</row>
    <row r="102" spans="1:14" x14ac:dyDescent="0.3">
      <c r="A102" s="5" t="s">
        <v>106</v>
      </c>
      <c r="B102" s="7">
        <f>2.81</f>
        <v>2.81</v>
      </c>
      <c r="C102" s="7">
        <f>2.53</f>
        <v>2.5299999999999998</v>
      </c>
      <c r="D102" s="7">
        <f>2.81</f>
        <v>2.81</v>
      </c>
      <c r="E102" s="7">
        <f>2.72</f>
        <v>2.72</v>
      </c>
      <c r="F102" s="7">
        <f>2.8</f>
        <v>2.8</v>
      </c>
      <c r="G102" s="7">
        <f>2.72</f>
        <v>2.72</v>
      </c>
      <c r="H102" s="7">
        <f>2.81</f>
        <v>2.81</v>
      </c>
      <c r="I102" s="7">
        <f>2.8</f>
        <v>2.8</v>
      </c>
      <c r="J102" s="7">
        <f>2.72</f>
        <v>2.72</v>
      </c>
      <c r="K102" s="7">
        <f>2.16</f>
        <v>2.16</v>
      </c>
      <c r="L102" s="7">
        <f>2.6</f>
        <v>2.6</v>
      </c>
      <c r="M102" s="7">
        <f>2.38</f>
        <v>2.38</v>
      </c>
      <c r="N102" s="7">
        <f>(((((((((((B102)+(C102))+(D102))+(E102))+(F102))+(G102))+(H102))+(I102))+(J102))+(K102))+(L102))+(M102)</f>
        <v>31.86</v>
      </c>
    </row>
    <row r="103" spans="1:14" x14ac:dyDescent="0.3">
      <c r="A103" s="5" t="s">
        <v>161</v>
      </c>
      <c r="B103" s="6"/>
      <c r="C103" s="6"/>
      <c r="D103" s="6"/>
      <c r="E103" s="6"/>
      <c r="F103" s="6"/>
      <c r="G103" s="6"/>
      <c r="H103" s="7">
        <f>315.01</f>
        <v>315.01</v>
      </c>
      <c r="I103" s="6"/>
      <c r="J103" s="6"/>
      <c r="K103" s="6"/>
      <c r="L103" s="6"/>
      <c r="M103" s="6"/>
      <c r="N103" s="7">
        <f>(((((((((((B103)+(C103))+(D103))+(E103))+(F103))+(G103))+(H103))+(I103))+(J103))+(K103))+(L103))+(M103)</f>
        <v>315.01</v>
      </c>
    </row>
    <row r="104" spans="1:14" x14ac:dyDescent="0.3">
      <c r="A104" s="5" t="s">
        <v>107</v>
      </c>
      <c r="B104" s="8">
        <f t="shared" ref="B104:M104" si="22">(B102)+(B103)</f>
        <v>2.81</v>
      </c>
      <c r="C104" s="8">
        <f t="shared" si="22"/>
        <v>2.5299999999999998</v>
      </c>
      <c r="D104" s="8">
        <f t="shared" si="22"/>
        <v>2.81</v>
      </c>
      <c r="E104" s="8">
        <f t="shared" si="22"/>
        <v>2.72</v>
      </c>
      <c r="F104" s="8">
        <f t="shared" si="22"/>
        <v>2.8</v>
      </c>
      <c r="G104" s="8">
        <f t="shared" si="22"/>
        <v>2.72</v>
      </c>
      <c r="H104" s="8">
        <f t="shared" si="22"/>
        <v>317.82</v>
      </c>
      <c r="I104" s="8">
        <f t="shared" si="22"/>
        <v>2.8</v>
      </c>
      <c r="J104" s="8">
        <f t="shared" si="22"/>
        <v>2.72</v>
      </c>
      <c r="K104" s="8">
        <f t="shared" si="22"/>
        <v>2.16</v>
      </c>
      <c r="L104" s="8">
        <f t="shared" si="22"/>
        <v>2.6</v>
      </c>
      <c r="M104" s="8">
        <f t="shared" si="22"/>
        <v>2.38</v>
      </c>
      <c r="N104" s="8">
        <f>(((((((((((B104)+(C104))+(D104))+(E104))+(F104))+(G104))+(H104))+(I104))+(J104))+(K104))+(L104))+(M104)</f>
        <v>346.87000000000006</v>
      </c>
    </row>
    <row r="105" spans="1:14" x14ac:dyDescent="0.3">
      <c r="A105" s="5" t="s">
        <v>108</v>
      </c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</row>
    <row r="106" spans="1:14" x14ac:dyDescent="0.3">
      <c r="A106" s="5" t="s">
        <v>109</v>
      </c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7">
        <f t="shared" ref="N106:N112" si="23">(((((((((((B106)+(C106))+(D106))+(E106))+(F106))+(G106))+(H106))+(I106))+(J106))+(K106))+(L106))+(M106)</f>
        <v>0</v>
      </c>
    </row>
    <row r="107" spans="1:14" x14ac:dyDescent="0.3">
      <c r="A107" s="5" t="s">
        <v>110</v>
      </c>
      <c r="B107" s="7">
        <f>1087.13</f>
        <v>1087.1300000000001</v>
      </c>
      <c r="C107" s="7">
        <f>1023.81</f>
        <v>1023.81</v>
      </c>
      <c r="D107" s="7">
        <f>959.7</f>
        <v>959.7</v>
      </c>
      <c r="E107" s="7">
        <f>894.81</f>
        <v>894.81</v>
      </c>
      <c r="F107" s="7">
        <f>829.13</f>
        <v>829.13</v>
      </c>
      <c r="G107" s="7">
        <f>762.66</f>
        <v>762.66</v>
      </c>
      <c r="H107" s="7">
        <f>695.36</f>
        <v>695.36</v>
      </c>
      <c r="I107" s="7">
        <f>627.22</f>
        <v>627.22</v>
      </c>
      <c r="J107" s="7">
        <f>558.27</f>
        <v>558.27</v>
      </c>
      <c r="K107" s="7">
        <f>488.46</f>
        <v>488.46</v>
      </c>
      <c r="L107" s="7">
        <f>427.8</f>
        <v>427.8</v>
      </c>
      <c r="M107" s="7">
        <f>386.38</f>
        <v>386.38</v>
      </c>
      <c r="N107" s="7">
        <f t="shared" si="23"/>
        <v>8740.73</v>
      </c>
    </row>
    <row r="108" spans="1:14" x14ac:dyDescent="0.3">
      <c r="A108" s="5" t="s">
        <v>111</v>
      </c>
      <c r="B108" s="8">
        <f t="shared" ref="B108:M108" si="24">(B106)+(B107)</f>
        <v>1087.1300000000001</v>
      </c>
      <c r="C108" s="8">
        <f t="shared" si="24"/>
        <v>1023.81</v>
      </c>
      <c r="D108" s="8">
        <f t="shared" si="24"/>
        <v>959.7</v>
      </c>
      <c r="E108" s="8">
        <f t="shared" si="24"/>
        <v>894.81</v>
      </c>
      <c r="F108" s="8">
        <f t="shared" si="24"/>
        <v>829.13</v>
      </c>
      <c r="G108" s="8">
        <f t="shared" si="24"/>
        <v>762.66</v>
      </c>
      <c r="H108" s="8">
        <f t="shared" si="24"/>
        <v>695.36</v>
      </c>
      <c r="I108" s="8">
        <f t="shared" si="24"/>
        <v>627.22</v>
      </c>
      <c r="J108" s="8">
        <f t="shared" si="24"/>
        <v>558.27</v>
      </c>
      <c r="K108" s="8">
        <f t="shared" si="24"/>
        <v>488.46</v>
      </c>
      <c r="L108" s="8">
        <f t="shared" si="24"/>
        <v>427.8</v>
      </c>
      <c r="M108" s="8">
        <f t="shared" si="24"/>
        <v>386.38</v>
      </c>
      <c r="N108" s="8">
        <f t="shared" si="23"/>
        <v>8740.73</v>
      </c>
    </row>
    <row r="109" spans="1:14" x14ac:dyDescent="0.3">
      <c r="A109" s="5" t="s">
        <v>112</v>
      </c>
      <c r="B109" s="7">
        <f t="shared" ref="B109:M109" si="25">219.31</f>
        <v>219.31</v>
      </c>
      <c r="C109" s="7">
        <f t="shared" si="25"/>
        <v>219.31</v>
      </c>
      <c r="D109" s="7">
        <f t="shared" si="25"/>
        <v>219.31</v>
      </c>
      <c r="E109" s="7">
        <f t="shared" si="25"/>
        <v>219.31</v>
      </c>
      <c r="F109" s="7">
        <f t="shared" si="25"/>
        <v>219.31</v>
      </c>
      <c r="G109" s="7">
        <f t="shared" si="25"/>
        <v>219.31</v>
      </c>
      <c r="H109" s="7">
        <f t="shared" si="25"/>
        <v>219.31</v>
      </c>
      <c r="I109" s="7">
        <f t="shared" si="25"/>
        <v>219.31</v>
      </c>
      <c r="J109" s="7">
        <f t="shared" si="25"/>
        <v>219.31</v>
      </c>
      <c r="K109" s="7">
        <f t="shared" si="25"/>
        <v>219.31</v>
      </c>
      <c r="L109" s="7">
        <f t="shared" si="25"/>
        <v>219.31</v>
      </c>
      <c r="M109" s="7">
        <f t="shared" si="25"/>
        <v>219.31</v>
      </c>
      <c r="N109" s="7">
        <f t="shared" si="23"/>
        <v>2631.72</v>
      </c>
    </row>
    <row r="110" spans="1:14" x14ac:dyDescent="0.3">
      <c r="A110" s="5" t="s">
        <v>113</v>
      </c>
      <c r="B110" s="8">
        <f t="shared" ref="B110:M110" si="26">(B108)+(B109)</f>
        <v>1306.44</v>
      </c>
      <c r="C110" s="8">
        <f t="shared" si="26"/>
        <v>1243.1199999999999</v>
      </c>
      <c r="D110" s="8">
        <f t="shared" si="26"/>
        <v>1179.01</v>
      </c>
      <c r="E110" s="8">
        <f t="shared" si="26"/>
        <v>1114.1199999999999</v>
      </c>
      <c r="F110" s="8">
        <f t="shared" si="26"/>
        <v>1048.44</v>
      </c>
      <c r="G110" s="8">
        <f t="shared" si="26"/>
        <v>981.97</v>
      </c>
      <c r="H110" s="8">
        <f t="shared" si="26"/>
        <v>914.67000000000007</v>
      </c>
      <c r="I110" s="8">
        <f t="shared" si="26"/>
        <v>846.53</v>
      </c>
      <c r="J110" s="8">
        <f t="shared" si="26"/>
        <v>777.57999999999993</v>
      </c>
      <c r="K110" s="8">
        <f t="shared" si="26"/>
        <v>707.77</v>
      </c>
      <c r="L110" s="8">
        <f t="shared" si="26"/>
        <v>647.11</v>
      </c>
      <c r="M110" s="8">
        <f t="shared" si="26"/>
        <v>605.69000000000005</v>
      </c>
      <c r="N110" s="8">
        <f t="shared" si="23"/>
        <v>11372.45</v>
      </c>
    </row>
    <row r="111" spans="1:14" x14ac:dyDescent="0.3">
      <c r="A111" s="5" t="s">
        <v>114</v>
      </c>
      <c r="B111" s="8">
        <f t="shared" ref="B111:M111" si="27">(B104)-(B110)</f>
        <v>-1303.6300000000001</v>
      </c>
      <c r="C111" s="8">
        <f t="shared" si="27"/>
        <v>-1240.5899999999999</v>
      </c>
      <c r="D111" s="8">
        <f t="shared" si="27"/>
        <v>-1176.2</v>
      </c>
      <c r="E111" s="8">
        <f t="shared" si="27"/>
        <v>-1111.3999999999999</v>
      </c>
      <c r="F111" s="8">
        <f t="shared" si="27"/>
        <v>-1045.6400000000001</v>
      </c>
      <c r="G111" s="8">
        <f t="shared" si="27"/>
        <v>-979.25</v>
      </c>
      <c r="H111" s="8">
        <f t="shared" si="27"/>
        <v>-596.85000000000014</v>
      </c>
      <c r="I111" s="8">
        <f t="shared" si="27"/>
        <v>-843.73</v>
      </c>
      <c r="J111" s="8">
        <f t="shared" si="27"/>
        <v>-774.8599999999999</v>
      </c>
      <c r="K111" s="8">
        <f t="shared" si="27"/>
        <v>-705.61</v>
      </c>
      <c r="L111" s="8">
        <f t="shared" si="27"/>
        <v>-644.51</v>
      </c>
      <c r="M111" s="8">
        <f t="shared" si="27"/>
        <v>-603.31000000000006</v>
      </c>
      <c r="N111" s="8">
        <f t="shared" si="23"/>
        <v>-11025.580000000002</v>
      </c>
    </row>
    <row r="112" spans="1:14" x14ac:dyDescent="0.3">
      <c r="A112" s="5" t="s">
        <v>115</v>
      </c>
      <c r="B112" s="8">
        <f t="shared" ref="B112:M112" si="28">(B100)+(B111)</f>
        <v>105667.18999999983</v>
      </c>
      <c r="C112" s="8">
        <f t="shared" si="28"/>
        <v>4811.7799999997624</v>
      </c>
      <c r="D112" s="8">
        <f t="shared" si="28"/>
        <v>53489.640000000087</v>
      </c>
      <c r="E112" s="8">
        <f t="shared" si="28"/>
        <v>14403.099999999651</v>
      </c>
      <c r="F112" s="8">
        <f t="shared" si="28"/>
        <v>156619.21999999997</v>
      </c>
      <c r="G112" s="8">
        <f t="shared" si="28"/>
        <v>-63457.450000000303</v>
      </c>
      <c r="H112" s="8">
        <f t="shared" si="28"/>
        <v>126091.86999999985</v>
      </c>
      <c r="I112" s="8">
        <f t="shared" si="28"/>
        <v>-77900.249999999782</v>
      </c>
      <c r="J112" s="8">
        <f t="shared" si="28"/>
        <v>-211294.6799999997</v>
      </c>
      <c r="K112" s="8">
        <f t="shared" si="28"/>
        <v>204955.36</v>
      </c>
      <c r="L112" s="8">
        <f t="shared" si="28"/>
        <v>-271823.81000000006</v>
      </c>
      <c r="M112" s="8">
        <f t="shared" si="28"/>
        <v>-178047.27999999997</v>
      </c>
      <c r="N112" s="8">
        <f t="shared" si="23"/>
        <v>-136485.31000000058</v>
      </c>
    </row>
    <row r="113" spans="1:14" x14ac:dyDescent="0.3">
      <c r="A113" s="5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</row>
    <row r="116" spans="1:14" x14ac:dyDescent="0.3">
      <c r="A116" s="12" t="s">
        <v>211</v>
      </c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3" tint="0.79998168889431442"/>
  </sheetPr>
  <dimension ref="A1:N111"/>
  <sheetViews>
    <sheetView workbookViewId="0"/>
  </sheetViews>
  <sheetFormatPr defaultColWidth="9" defaultRowHeight="14.4" x14ac:dyDescent="0.3"/>
  <cols>
    <col min="1" max="1" width="44.6640625" style="2" customWidth="1"/>
    <col min="2" max="2" width="11.109375" style="2" customWidth="1"/>
    <col min="3" max="13" width="12" style="2" customWidth="1"/>
    <col min="14" max="14" width="13.6640625" style="2" customWidth="1"/>
    <col min="15" max="16384" width="9" style="2"/>
  </cols>
  <sheetData>
    <row r="1" spans="1:14" ht="17.399999999999999" x14ac:dyDescent="0.3">
      <c r="A1" s="9" t="s">
        <v>1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</row>
    <row r="2" spans="1:14" ht="17.399999999999999" x14ac:dyDescent="0.3">
      <c r="A2" s="9" t="s">
        <v>2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3">
      <c r="A3" s="11" t="s">
        <v>3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</row>
    <row r="5" spans="1:14" x14ac:dyDescent="0.3">
      <c r="A5" s="3"/>
      <c r="B5" s="13">
        <v>43101</v>
      </c>
      <c r="C5" s="13">
        <v>43132</v>
      </c>
      <c r="D5" s="13">
        <v>43160</v>
      </c>
      <c r="E5" s="13">
        <v>43191</v>
      </c>
      <c r="F5" s="13">
        <v>43221</v>
      </c>
      <c r="G5" s="13">
        <v>43252</v>
      </c>
      <c r="H5" s="13">
        <v>43282</v>
      </c>
      <c r="I5" s="13">
        <v>43313</v>
      </c>
      <c r="J5" s="13">
        <v>43344</v>
      </c>
      <c r="K5" s="13">
        <v>43374</v>
      </c>
      <c r="L5" s="13">
        <v>43405</v>
      </c>
      <c r="M5" s="13">
        <v>43435</v>
      </c>
      <c r="N5" s="4">
        <v>2018</v>
      </c>
    </row>
    <row r="6" spans="1:14" x14ac:dyDescent="0.3">
      <c r="A6" s="5" t="s">
        <v>17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</row>
    <row r="7" spans="1:14" x14ac:dyDescent="0.3">
      <c r="A7" s="5" t="s">
        <v>18</v>
      </c>
      <c r="B7" s="7">
        <f>449506.31</f>
        <v>449506.31</v>
      </c>
      <c r="C7" s="7">
        <f>412315.94</f>
        <v>412315.94</v>
      </c>
      <c r="D7" s="7">
        <f>688164.93</f>
        <v>688164.93</v>
      </c>
      <c r="E7" s="7">
        <f>1120922.52</f>
        <v>1120922.52</v>
      </c>
      <c r="F7" s="7">
        <f>1159950.72</f>
        <v>1159950.72</v>
      </c>
      <c r="G7" s="7">
        <f>1101331.92</f>
        <v>1101331.92</v>
      </c>
      <c r="H7" s="7">
        <f>1277200.51</f>
        <v>1277200.51</v>
      </c>
      <c r="I7" s="7">
        <f>1770166.06</f>
        <v>1770166.06</v>
      </c>
      <c r="J7" s="7">
        <f>1583921.23</f>
        <v>1583921.23</v>
      </c>
      <c r="K7" s="7">
        <f>1941754.88</f>
        <v>1941754.8799999999</v>
      </c>
      <c r="L7" s="7">
        <f>1914975.88</f>
        <v>1914975.88</v>
      </c>
      <c r="M7" s="7">
        <f>1911699.81</f>
        <v>1911699.81</v>
      </c>
      <c r="N7" s="7">
        <f>(((((((((((B7)+(C7))+(D7))+(E7))+(F7))+(G7))+(H7))+(I7))+(J7))+(K7))+(L7))+(M7)</f>
        <v>15331910.709999999</v>
      </c>
    </row>
    <row r="8" spans="1:14" x14ac:dyDescent="0.3">
      <c r="A8" s="5" t="s">
        <v>19</v>
      </c>
      <c r="B8" s="7">
        <f>-39047.24</f>
        <v>-39047.24</v>
      </c>
      <c r="C8" s="7">
        <f>-32767.71</f>
        <v>-32767.71</v>
      </c>
      <c r="D8" s="7">
        <f>-47704.21</f>
        <v>-47704.21</v>
      </c>
      <c r="E8" s="7">
        <f>-81341.09</f>
        <v>-81341.09</v>
      </c>
      <c r="F8" s="7">
        <f>-93437.02</f>
        <v>-93437.02</v>
      </c>
      <c r="G8" s="7">
        <f>-94124.96</f>
        <v>-94124.96</v>
      </c>
      <c r="H8" s="7">
        <f>-97007.1</f>
        <v>-97007.1</v>
      </c>
      <c r="I8" s="7">
        <f>-184709.1</f>
        <v>-184709.1</v>
      </c>
      <c r="J8" s="7">
        <f>-180913.39</f>
        <v>-180913.39</v>
      </c>
      <c r="K8" s="7">
        <f>-163672.56</f>
        <v>-163672.56</v>
      </c>
      <c r="L8" s="7">
        <f>-205024.04</f>
        <v>-205024.04</v>
      </c>
      <c r="M8" s="7">
        <f>-240028.64</f>
        <v>-240028.64</v>
      </c>
      <c r="N8" s="7">
        <f>(((((((((((B8)+(C8))+(D8))+(E8))+(F8))+(G8))+(H8))+(I8))+(J8))+(K8))+(L8))+(M8)</f>
        <v>-1459777.06</v>
      </c>
    </row>
    <row r="9" spans="1:14" x14ac:dyDescent="0.3">
      <c r="A9" s="5" t="s">
        <v>20</v>
      </c>
      <c r="B9" s="8">
        <f t="shared" ref="B9:M9" si="0">(B7)+(B8)</f>
        <v>410459.07</v>
      </c>
      <c r="C9" s="8">
        <f t="shared" si="0"/>
        <v>379548.23</v>
      </c>
      <c r="D9" s="8">
        <f t="shared" si="0"/>
        <v>640460.72000000009</v>
      </c>
      <c r="E9" s="8">
        <f t="shared" si="0"/>
        <v>1039581.43</v>
      </c>
      <c r="F9" s="8">
        <f t="shared" si="0"/>
        <v>1066513.7</v>
      </c>
      <c r="G9" s="8">
        <f t="shared" si="0"/>
        <v>1007206.96</v>
      </c>
      <c r="H9" s="8">
        <f t="shared" si="0"/>
        <v>1180193.4099999999</v>
      </c>
      <c r="I9" s="8">
        <f t="shared" si="0"/>
        <v>1585456.96</v>
      </c>
      <c r="J9" s="8">
        <f t="shared" si="0"/>
        <v>1403007.8399999999</v>
      </c>
      <c r="K9" s="8">
        <f t="shared" si="0"/>
        <v>1778082.3199999998</v>
      </c>
      <c r="L9" s="8">
        <f t="shared" si="0"/>
        <v>1709951.8399999999</v>
      </c>
      <c r="M9" s="8">
        <f t="shared" si="0"/>
        <v>1671671.17</v>
      </c>
      <c r="N9" s="8">
        <f>(((((((((((B9)+(C9))+(D9))+(E9))+(F9))+(G9))+(H9))+(I9))+(J9))+(K9))+(L9))+(M9)</f>
        <v>13872133.65</v>
      </c>
    </row>
    <row r="10" spans="1:14" x14ac:dyDescent="0.3">
      <c r="A10" s="5" t="s">
        <v>21</v>
      </c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</row>
    <row r="11" spans="1:14" x14ac:dyDescent="0.3">
      <c r="A11" s="5" t="s">
        <v>22</v>
      </c>
      <c r="B11" s="7">
        <f>78642.69</f>
        <v>78642.69</v>
      </c>
      <c r="C11" s="7">
        <f>73135.87</f>
        <v>73135.87</v>
      </c>
      <c r="D11" s="7">
        <f>186224.99</f>
        <v>186224.99</v>
      </c>
      <c r="E11" s="7">
        <f>176057.59</f>
        <v>176057.59</v>
      </c>
      <c r="F11" s="7">
        <f>185814.41</f>
        <v>185814.41</v>
      </c>
      <c r="G11" s="7">
        <f>192956.42</f>
        <v>192956.42</v>
      </c>
      <c r="H11" s="7">
        <f>233379.79</f>
        <v>233379.79</v>
      </c>
      <c r="I11" s="7">
        <f>257793.8</f>
        <v>257793.8</v>
      </c>
      <c r="J11" s="7">
        <f>265581.24</f>
        <v>265581.24</v>
      </c>
      <c r="K11" s="7">
        <f>315974.93</f>
        <v>315974.93</v>
      </c>
      <c r="L11" s="7">
        <f>320480.44</f>
        <v>320480.44</v>
      </c>
      <c r="M11" s="7">
        <f>362452.91</f>
        <v>362452.91</v>
      </c>
      <c r="N11" s="7">
        <f t="shared" ref="N11:N25" si="1">(((((((((((B11)+(C11))+(D11))+(E11))+(F11))+(G11))+(H11))+(I11))+(J11))+(K11))+(L11))+(M11)</f>
        <v>2648495.08</v>
      </c>
    </row>
    <row r="12" spans="1:14" x14ac:dyDescent="0.3">
      <c r="A12" s="5" t="s">
        <v>23</v>
      </c>
      <c r="B12" s="7">
        <f>15677.65</f>
        <v>15677.65</v>
      </c>
      <c r="C12" s="7">
        <f>14195.29</f>
        <v>14195.29</v>
      </c>
      <c r="D12" s="7">
        <f>24709.17</f>
        <v>24709.17</v>
      </c>
      <c r="E12" s="7">
        <f>31196.4</f>
        <v>31196.400000000001</v>
      </c>
      <c r="F12" s="7">
        <f>35823.17</f>
        <v>35823.17</v>
      </c>
      <c r="G12" s="7">
        <f>38166.8</f>
        <v>38166.800000000003</v>
      </c>
      <c r="H12" s="7">
        <f>38674.83</f>
        <v>38674.83</v>
      </c>
      <c r="I12" s="7">
        <f>51896.78</f>
        <v>51896.78</v>
      </c>
      <c r="J12" s="7">
        <f>45592.54</f>
        <v>45592.54</v>
      </c>
      <c r="K12" s="7">
        <f>58390.17</f>
        <v>58390.17</v>
      </c>
      <c r="L12" s="7">
        <f>53932.3</f>
        <v>53932.3</v>
      </c>
      <c r="M12" s="7">
        <f>53978.11</f>
        <v>53978.11</v>
      </c>
      <c r="N12" s="7">
        <f t="shared" si="1"/>
        <v>462233.20999999996</v>
      </c>
    </row>
    <row r="13" spans="1:14" x14ac:dyDescent="0.3">
      <c r="A13" s="5" t="s">
        <v>24</v>
      </c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7">
        <f t="shared" si="1"/>
        <v>0</v>
      </c>
    </row>
    <row r="14" spans="1:14" x14ac:dyDescent="0.3">
      <c r="A14" s="5" t="s">
        <v>25</v>
      </c>
      <c r="B14" s="7">
        <f>46748.88</f>
        <v>46748.88</v>
      </c>
      <c r="C14" s="7">
        <f>47713.95</f>
        <v>47713.95</v>
      </c>
      <c r="D14" s="7">
        <f>94675.87</f>
        <v>94675.87</v>
      </c>
      <c r="E14" s="7">
        <f>120959.77</f>
        <v>120959.77</v>
      </c>
      <c r="F14" s="7">
        <f>122366.25</f>
        <v>122366.25</v>
      </c>
      <c r="G14" s="7">
        <f>145891.33</f>
        <v>145891.32999999999</v>
      </c>
      <c r="H14" s="7">
        <f>155117.48</f>
        <v>155117.48000000001</v>
      </c>
      <c r="I14" s="7">
        <f>198613.68</f>
        <v>198613.68</v>
      </c>
      <c r="J14" s="7">
        <f>164258.57</f>
        <v>164258.57</v>
      </c>
      <c r="K14" s="7">
        <f>239210.2</f>
        <v>239210.2</v>
      </c>
      <c r="L14" s="7">
        <f>280121.9</f>
        <v>280121.90000000002</v>
      </c>
      <c r="M14" s="7">
        <f>239638.26</f>
        <v>239638.26</v>
      </c>
      <c r="N14" s="7">
        <f t="shared" si="1"/>
        <v>1855316.14</v>
      </c>
    </row>
    <row r="15" spans="1:14" x14ac:dyDescent="0.3">
      <c r="A15" s="5" t="s">
        <v>26</v>
      </c>
      <c r="B15" s="7">
        <f>52573.3</f>
        <v>52573.3</v>
      </c>
      <c r="C15" s="7">
        <f>50206.75</f>
        <v>50206.75</v>
      </c>
      <c r="D15" s="7">
        <f>87447.75</f>
        <v>87447.75</v>
      </c>
      <c r="E15" s="7">
        <f>120167.25</f>
        <v>120167.25</v>
      </c>
      <c r="F15" s="7">
        <f>122833.25</f>
        <v>122833.25</v>
      </c>
      <c r="G15" s="7">
        <f>128485.2</f>
        <v>128485.2</v>
      </c>
      <c r="H15" s="7">
        <f>117704.2</f>
        <v>117704.2</v>
      </c>
      <c r="I15" s="7">
        <f>212435.7</f>
        <v>212435.7</v>
      </c>
      <c r="J15" s="7">
        <f>245122.2</f>
        <v>245122.2</v>
      </c>
      <c r="K15" s="7">
        <f>250984.45</f>
        <v>250984.45</v>
      </c>
      <c r="L15" s="7">
        <f>186460.45</f>
        <v>186460.45</v>
      </c>
      <c r="M15" s="7">
        <f>324134.7</f>
        <v>324134.7</v>
      </c>
      <c r="N15" s="7">
        <f t="shared" si="1"/>
        <v>1898555.1999999997</v>
      </c>
    </row>
    <row r="16" spans="1:14" x14ac:dyDescent="0.3">
      <c r="A16" s="5" t="s">
        <v>27</v>
      </c>
      <c r="B16" s="6"/>
      <c r="C16" s="6"/>
      <c r="D16" s="6"/>
      <c r="E16" s="6"/>
      <c r="F16" s="6"/>
      <c r="G16" s="6"/>
      <c r="H16" s="6"/>
      <c r="I16" s="6"/>
      <c r="J16" s="6"/>
      <c r="K16" s="6"/>
      <c r="L16" s="7">
        <f>63784.61</f>
        <v>63784.61</v>
      </c>
      <c r="M16" s="7">
        <f>79370.23</f>
        <v>79370.23</v>
      </c>
      <c r="N16" s="7">
        <f t="shared" si="1"/>
        <v>143154.84</v>
      </c>
    </row>
    <row r="17" spans="1:14" x14ac:dyDescent="0.3">
      <c r="A17" s="5" t="s">
        <v>28</v>
      </c>
      <c r="B17" s="7">
        <f>3713.2</f>
        <v>3713.2</v>
      </c>
      <c r="C17" s="7">
        <f>3018.92</f>
        <v>3018.92</v>
      </c>
      <c r="D17" s="7">
        <f>6029.75</f>
        <v>6029.75</v>
      </c>
      <c r="E17" s="7">
        <f>3202.54</f>
        <v>3202.54</v>
      </c>
      <c r="F17" s="7">
        <f>6604.13</f>
        <v>6604.13</v>
      </c>
      <c r="G17" s="7">
        <f>3978.99</f>
        <v>3978.99</v>
      </c>
      <c r="H17" s="7">
        <f>8715.68</f>
        <v>8715.68</v>
      </c>
      <c r="I17" s="7">
        <f>10563.16</f>
        <v>10563.16</v>
      </c>
      <c r="J17" s="7">
        <f>6978.13</f>
        <v>6978.13</v>
      </c>
      <c r="K17" s="7">
        <f>14477.21</f>
        <v>14477.21</v>
      </c>
      <c r="L17" s="7">
        <f>23625.4</f>
        <v>23625.4</v>
      </c>
      <c r="M17" s="7">
        <f>8562.42</f>
        <v>8562.42</v>
      </c>
      <c r="N17" s="7">
        <f t="shared" si="1"/>
        <v>99469.529999999984</v>
      </c>
    </row>
    <row r="18" spans="1:14" x14ac:dyDescent="0.3">
      <c r="A18" s="5" t="s">
        <v>29</v>
      </c>
      <c r="B18" s="7">
        <f>527.5</f>
        <v>527.5</v>
      </c>
      <c r="C18" s="6"/>
      <c r="D18" s="7">
        <f>100</f>
        <v>100</v>
      </c>
      <c r="E18" s="7">
        <f>7.3</f>
        <v>7.3</v>
      </c>
      <c r="F18" s="7">
        <f>19.3</f>
        <v>19.3</v>
      </c>
      <c r="G18" s="7">
        <f>1</f>
        <v>1</v>
      </c>
      <c r="H18" s="6"/>
      <c r="I18" s="7">
        <f>24.7</f>
        <v>24.7</v>
      </c>
      <c r="J18" s="6"/>
      <c r="K18" s="6"/>
      <c r="L18" s="6"/>
      <c r="M18" s="7">
        <f>36.25</f>
        <v>36.25</v>
      </c>
      <c r="N18" s="7">
        <f t="shared" si="1"/>
        <v>716.05</v>
      </c>
    </row>
    <row r="19" spans="1:14" x14ac:dyDescent="0.3">
      <c r="A19" s="5" t="s">
        <v>30</v>
      </c>
      <c r="B19" s="8">
        <f t="shared" ref="B19:M19" si="2">(((((B13)+(B14))+(B15))+(B16))+(B17))+(B18)</f>
        <v>103562.87999999999</v>
      </c>
      <c r="C19" s="8">
        <f t="shared" si="2"/>
        <v>100939.62</v>
      </c>
      <c r="D19" s="8">
        <f t="shared" si="2"/>
        <v>188253.37</v>
      </c>
      <c r="E19" s="8">
        <f t="shared" si="2"/>
        <v>244336.86000000002</v>
      </c>
      <c r="F19" s="8">
        <f t="shared" si="2"/>
        <v>251822.93</v>
      </c>
      <c r="G19" s="8">
        <f t="shared" si="2"/>
        <v>278356.51999999996</v>
      </c>
      <c r="H19" s="8">
        <f t="shared" si="2"/>
        <v>281537.36</v>
      </c>
      <c r="I19" s="8">
        <f t="shared" si="2"/>
        <v>421637.24</v>
      </c>
      <c r="J19" s="8">
        <f t="shared" si="2"/>
        <v>416358.9</v>
      </c>
      <c r="K19" s="8">
        <f t="shared" si="2"/>
        <v>504671.86000000004</v>
      </c>
      <c r="L19" s="8">
        <f t="shared" si="2"/>
        <v>553992.3600000001</v>
      </c>
      <c r="M19" s="8">
        <f t="shared" si="2"/>
        <v>651741.86</v>
      </c>
      <c r="N19" s="8">
        <f t="shared" si="1"/>
        <v>3997211.7600000002</v>
      </c>
    </row>
    <row r="20" spans="1:14" x14ac:dyDescent="0.3">
      <c r="A20" s="5" t="s">
        <v>31</v>
      </c>
      <c r="B20" s="7">
        <f>8945.06</f>
        <v>8945.06</v>
      </c>
      <c r="C20" s="7">
        <f>10337.18</f>
        <v>10337.18</v>
      </c>
      <c r="D20" s="7">
        <f>79900.83</f>
        <v>79900.83</v>
      </c>
      <c r="E20" s="7">
        <f>17514.78</f>
        <v>17514.78</v>
      </c>
      <c r="F20" s="7">
        <f>20652.64</f>
        <v>20652.64</v>
      </c>
      <c r="G20" s="7">
        <f>19564.72</f>
        <v>19564.72</v>
      </c>
      <c r="H20" s="7">
        <f>29136.79</f>
        <v>29136.79</v>
      </c>
      <c r="I20" s="7">
        <f>38280.89</f>
        <v>38280.89</v>
      </c>
      <c r="J20" s="7">
        <f>45260.38</f>
        <v>45260.38</v>
      </c>
      <c r="K20" s="7">
        <f>49724.91</f>
        <v>49724.91</v>
      </c>
      <c r="L20" s="7">
        <f>64358.8</f>
        <v>64358.8</v>
      </c>
      <c r="M20" s="7">
        <f>63071.35</f>
        <v>63071.35</v>
      </c>
      <c r="N20" s="7">
        <f t="shared" si="1"/>
        <v>446748.33</v>
      </c>
    </row>
    <row r="21" spans="1:14" x14ac:dyDescent="0.3">
      <c r="A21" s="5" t="s">
        <v>32</v>
      </c>
      <c r="B21" s="7">
        <f>11910.77</f>
        <v>11910.77</v>
      </c>
      <c r="C21" s="7">
        <f>9802.76</f>
        <v>9802.76</v>
      </c>
      <c r="D21" s="7">
        <f>34198.08</f>
        <v>34198.080000000002</v>
      </c>
      <c r="E21" s="7">
        <f>33153.94</f>
        <v>33153.94</v>
      </c>
      <c r="F21" s="7">
        <f>25195.06</f>
        <v>25195.06</v>
      </c>
      <c r="G21" s="7">
        <f>40418.48</f>
        <v>40418.480000000003</v>
      </c>
      <c r="H21" s="7">
        <f>32441.18</f>
        <v>32441.18</v>
      </c>
      <c r="I21" s="7">
        <f>40477.57</f>
        <v>40477.57</v>
      </c>
      <c r="J21" s="7">
        <f>38073.75</f>
        <v>38073.75</v>
      </c>
      <c r="K21" s="7">
        <f>124642.01</f>
        <v>124642.01</v>
      </c>
      <c r="L21" s="7">
        <f>45747.61</f>
        <v>45747.61</v>
      </c>
      <c r="M21" s="7">
        <f>79880.13</f>
        <v>79880.13</v>
      </c>
      <c r="N21" s="7">
        <f t="shared" si="1"/>
        <v>515941.33999999997</v>
      </c>
    </row>
    <row r="22" spans="1:14" x14ac:dyDescent="0.3">
      <c r="A22" s="5" t="s">
        <v>33</v>
      </c>
      <c r="B22" s="7">
        <f>2676.91</f>
        <v>2676.91</v>
      </c>
      <c r="C22" s="7">
        <f>3586.37</f>
        <v>3586.37</v>
      </c>
      <c r="D22" s="7">
        <f>3221.18</f>
        <v>3221.18</v>
      </c>
      <c r="E22" s="7">
        <f>5103.84</f>
        <v>5103.84</v>
      </c>
      <c r="F22" s="7">
        <f>6464.09</f>
        <v>6464.09</v>
      </c>
      <c r="G22" s="6"/>
      <c r="H22" s="7">
        <f>7382.5</f>
        <v>7382.5</v>
      </c>
      <c r="I22" s="7">
        <f>8159.64</f>
        <v>8159.64</v>
      </c>
      <c r="J22" s="7">
        <f>10651.51</f>
        <v>10651.51</v>
      </c>
      <c r="K22" s="7">
        <f>11029.96</f>
        <v>11029.96</v>
      </c>
      <c r="L22" s="7">
        <f>13697.03</f>
        <v>13697.03</v>
      </c>
      <c r="M22" s="7">
        <f>13431.05</f>
        <v>13431.05</v>
      </c>
      <c r="N22" s="7">
        <f t="shared" si="1"/>
        <v>85404.08</v>
      </c>
    </row>
    <row r="23" spans="1:14" x14ac:dyDescent="0.3">
      <c r="A23" s="5" t="s">
        <v>34</v>
      </c>
      <c r="B23" s="6"/>
      <c r="C23" s="7">
        <f>1352.96</f>
        <v>1352.96</v>
      </c>
      <c r="D23" s="6"/>
      <c r="E23" s="7">
        <f>72.3</f>
        <v>72.3</v>
      </c>
      <c r="F23" s="6"/>
      <c r="G23" s="7">
        <f>2727.6</f>
        <v>2727.6</v>
      </c>
      <c r="H23" s="6"/>
      <c r="I23" s="7">
        <f>1353.24</f>
        <v>1353.24</v>
      </c>
      <c r="J23" s="6"/>
      <c r="K23" s="6"/>
      <c r="L23" s="6"/>
      <c r="M23" s="6"/>
      <c r="N23" s="7">
        <f t="shared" si="1"/>
        <v>5506.0999999999995</v>
      </c>
    </row>
    <row r="24" spans="1:14" x14ac:dyDescent="0.3">
      <c r="A24" s="5" t="s">
        <v>35</v>
      </c>
      <c r="B24" s="8">
        <f t="shared" ref="B24:M24" si="3">((((((B11)+(B12))+(B19))+(B20))+(B21))+(B22))+(B23)</f>
        <v>221415.95999999996</v>
      </c>
      <c r="C24" s="8">
        <f t="shared" si="3"/>
        <v>213350.05</v>
      </c>
      <c r="D24" s="8">
        <f t="shared" si="3"/>
        <v>516507.62</v>
      </c>
      <c r="E24" s="8">
        <f t="shared" si="3"/>
        <v>507435.71</v>
      </c>
      <c r="F24" s="8">
        <f t="shared" si="3"/>
        <v>525772.30000000005</v>
      </c>
      <c r="G24" s="8">
        <f t="shared" si="3"/>
        <v>572190.53999999992</v>
      </c>
      <c r="H24" s="8">
        <f t="shared" si="3"/>
        <v>622552.45000000007</v>
      </c>
      <c r="I24" s="8">
        <f t="shared" si="3"/>
        <v>819599.15999999992</v>
      </c>
      <c r="J24" s="8">
        <f t="shared" si="3"/>
        <v>821518.32</v>
      </c>
      <c r="K24" s="8">
        <f t="shared" si="3"/>
        <v>1064433.8399999999</v>
      </c>
      <c r="L24" s="8">
        <f t="shared" si="3"/>
        <v>1052208.54</v>
      </c>
      <c r="M24" s="8">
        <f t="shared" si="3"/>
        <v>1224555.4099999999</v>
      </c>
      <c r="N24" s="8">
        <f t="shared" si="1"/>
        <v>8161539.9000000004</v>
      </c>
    </row>
    <row r="25" spans="1:14" x14ac:dyDescent="0.3">
      <c r="A25" s="5" t="s">
        <v>36</v>
      </c>
      <c r="B25" s="8">
        <f t="shared" ref="B25:M25" si="4">(B9)-(B24)</f>
        <v>189043.11000000004</v>
      </c>
      <c r="C25" s="8">
        <f t="shared" si="4"/>
        <v>166198.18</v>
      </c>
      <c r="D25" s="8">
        <f t="shared" si="4"/>
        <v>123953.10000000009</v>
      </c>
      <c r="E25" s="8">
        <f t="shared" si="4"/>
        <v>532145.72</v>
      </c>
      <c r="F25" s="8">
        <f t="shared" si="4"/>
        <v>540741.39999999991</v>
      </c>
      <c r="G25" s="8">
        <f t="shared" si="4"/>
        <v>435016.42000000004</v>
      </c>
      <c r="H25" s="8">
        <f t="shared" si="4"/>
        <v>557640.95999999985</v>
      </c>
      <c r="I25" s="8">
        <f t="shared" si="4"/>
        <v>765857.8</v>
      </c>
      <c r="J25" s="8">
        <f t="shared" si="4"/>
        <v>581489.5199999999</v>
      </c>
      <c r="K25" s="8">
        <f t="shared" si="4"/>
        <v>713648.48</v>
      </c>
      <c r="L25" s="8">
        <f t="shared" si="4"/>
        <v>657743.29999999981</v>
      </c>
      <c r="M25" s="8">
        <f t="shared" si="4"/>
        <v>447115.76</v>
      </c>
      <c r="N25" s="8">
        <f t="shared" si="1"/>
        <v>5710593.75</v>
      </c>
    </row>
    <row r="26" spans="1:14" x14ac:dyDescent="0.3">
      <c r="A26" s="5" t="s">
        <v>37</v>
      </c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</row>
    <row r="27" spans="1:14" x14ac:dyDescent="0.3">
      <c r="A27" s="5" t="s">
        <v>38</v>
      </c>
      <c r="B27" s="6"/>
      <c r="C27" s="7">
        <f>20</f>
        <v>20</v>
      </c>
      <c r="D27" s="6"/>
      <c r="E27" s="6"/>
      <c r="F27" s="6"/>
      <c r="G27" s="6"/>
      <c r="H27" s="6"/>
      <c r="I27" s="6"/>
      <c r="J27" s="6"/>
      <c r="K27" s="6"/>
      <c r="L27" s="7">
        <f>128.82</f>
        <v>128.82</v>
      </c>
      <c r="M27" s="6"/>
      <c r="N27" s="7">
        <f t="shared" ref="N27:N90" si="5">(((((((((((B27)+(C27))+(D27))+(E27))+(F27))+(G27))+(H27))+(I27))+(J27))+(K27))+(L27))+(M27)</f>
        <v>148.82</v>
      </c>
    </row>
    <row r="28" spans="1:14" x14ac:dyDescent="0.3">
      <c r="A28" s="5" t="s">
        <v>39</v>
      </c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7">
        <f t="shared" si="5"/>
        <v>0</v>
      </c>
    </row>
    <row r="29" spans="1:14" x14ac:dyDescent="0.3">
      <c r="A29" s="5" t="s">
        <v>40</v>
      </c>
      <c r="B29" s="7">
        <f>147.34</f>
        <v>147.34</v>
      </c>
      <c r="C29" s="7">
        <f>296.2</f>
        <v>296.2</v>
      </c>
      <c r="D29" s="7">
        <f>839.72</f>
        <v>839.72</v>
      </c>
      <c r="E29" s="7">
        <f>270.46</f>
        <v>270.45999999999998</v>
      </c>
      <c r="F29" s="7">
        <f>72.49</f>
        <v>72.489999999999995</v>
      </c>
      <c r="G29" s="7">
        <f>62.97</f>
        <v>62.97</v>
      </c>
      <c r="H29" s="7">
        <f>130.94</f>
        <v>130.94</v>
      </c>
      <c r="I29" s="7">
        <f>72.45</f>
        <v>72.45</v>
      </c>
      <c r="J29" s="7">
        <f>89.2</f>
        <v>89.2</v>
      </c>
      <c r="K29" s="7">
        <f>83.7</f>
        <v>83.7</v>
      </c>
      <c r="L29" s="7">
        <f>72.72</f>
        <v>72.72</v>
      </c>
      <c r="M29" s="7">
        <f>50.7</f>
        <v>50.7</v>
      </c>
      <c r="N29" s="7">
        <f t="shared" si="5"/>
        <v>2188.89</v>
      </c>
    </row>
    <row r="30" spans="1:14" x14ac:dyDescent="0.3">
      <c r="A30" s="5" t="s">
        <v>41</v>
      </c>
      <c r="B30" s="6"/>
      <c r="C30" s="6"/>
      <c r="D30" s="6"/>
      <c r="E30" s="6"/>
      <c r="F30" s="6"/>
      <c r="G30" s="6"/>
      <c r="H30" s="6"/>
      <c r="I30" s="7">
        <f>10.59</f>
        <v>10.59</v>
      </c>
      <c r="J30" s="7">
        <f>2.58</f>
        <v>2.58</v>
      </c>
      <c r="K30" s="7">
        <f>9.52</f>
        <v>9.52</v>
      </c>
      <c r="L30" s="7">
        <f>38.91</f>
        <v>38.909999999999997</v>
      </c>
      <c r="M30" s="7">
        <f>10.65</f>
        <v>10.65</v>
      </c>
      <c r="N30" s="7">
        <f t="shared" si="5"/>
        <v>72.25</v>
      </c>
    </row>
    <row r="31" spans="1:14" x14ac:dyDescent="0.3">
      <c r="A31" s="5" t="s">
        <v>42</v>
      </c>
      <c r="B31" s="8">
        <f t="shared" ref="B31:M31" si="6">(B29)+(B30)</f>
        <v>147.34</v>
      </c>
      <c r="C31" s="8">
        <f t="shared" si="6"/>
        <v>296.2</v>
      </c>
      <c r="D31" s="8">
        <f t="shared" si="6"/>
        <v>839.72</v>
      </c>
      <c r="E31" s="8">
        <f t="shared" si="6"/>
        <v>270.45999999999998</v>
      </c>
      <c r="F31" s="8">
        <f t="shared" si="6"/>
        <v>72.489999999999995</v>
      </c>
      <c r="G31" s="8">
        <f t="shared" si="6"/>
        <v>62.97</v>
      </c>
      <c r="H31" s="8">
        <f t="shared" si="6"/>
        <v>130.94</v>
      </c>
      <c r="I31" s="8">
        <f t="shared" si="6"/>
        <v>83.04</v>
      </c>
      <c r="J31" s="8">
        <f t="shared" si="6"/>
        <v>91.78</v>
      </c>
      <c r="K31" s="8">
        <f t="shared" si="6"/>
        <v>93.22</v>
      </c>
      <c r="L31" s="8">
        <f t="shared" si="6"/>
        <v>111.63</v>
      </c>
      <c r="M31" s="8">
        <f t="shared" si="6"/>
        <v>61.35</v>
      </c>
      <c r="N31" s="8">
        <f t="shared" si="5"/>
        <v>2261.14</v>
      </c>
    </row>
    <row r="32" spans="1:14" x14ac:dyDescent="0.3">
      <c r="A32" s="5" t="s">
        <v>43</v>
      </c>
      <c r="B32" s="6"/>
      <c r="C32" s="6"/>
      <c r="D32" s="6"/>
      <c r="E32" s="6"/>
      <c r="F32" s="6"/>
      <c r="G32" s="6"/>
      <c r="H32" s="6"/>
      <c r="I32" s="6"/>
      <c r="J32" s="6"/>
      <c r="K32" s="7">
        <f>2106.43</f>
        <v>2106.4299999999998</v>
      </c>
      <c r="L32" s="7">
        <f>7857.63</f>
        <v>7857.63</v>
      </c>
      <c r="M32" s="7">
        <f>5096.46</f>
        <v>5096.46</v>
      </c>
      <c r="N32" s="7">
        <f t="shared" si="5"/>
        <v>15060.52</v>
      </c>
    </row>
    <row r="33" spans="1:14" x14ac:dyDescent="0.3">
      <c r="A33" s="5" t="s">
        <v>44</v>
      </c>
      <c r="B33" s="6"/>
      <c r="C33" s="6"/>
      <c r="D33" s="6"/>
      <c r="E33" s="6"/>
      <c r="F33" s="7">
        <f>5850</f>
        <v>5850</v>
      </c>
      <c r="G33" s="6"/>
      <c r="H33" s="6"/>
      <c r="I33" s="7">
        <f>1117.73</f>
        <v>1117.73</v>
      </c>
      <c r="J33" s="6"/>
      <c r="K33" s="6"/>
      <c r="L33" s="6"/>
      <c r="M33" s="6"/>
      <c r="N33" s="7">
        <f t="shared" si="5"/>
        <v>6967.73</v>
      </c>
    </row>
    <row r="34" spans="1:14" x14ac:dyDescent="0.3">
      <c r="A34" s="5" t="s">
        <v>45</v>
      </c>
      <c r="B34" s="7">
        <f>39.12</f>
        <v>39.119999999999997</v>
      </c>
      <c r="C34" s="7">
        <f>279.19</f>
        <v>279.19</v>
      </c>
      <c r="D34" s="7">
        <f>103.45</f>
        <v>103.45</v>
      </c>
      <c r="E34" s="7">
        <f>252.65</f>
        <v>252.65</v>
      </c>
      <c r="F34" s="7">
        <f>194.41</f>
        <v>194.41</v>
      </c>
      <c r="G34" s="6"/>
      <c r="H34" s="6"/>
      <c r="I34" s="6"/>
      <c r="J34" s="6"/>
      <c r="K34" s="6"/>
      <c r="L34" s="6"/>
      <c r="M34" s="7">
        <f>197.46</f>
        <v>197.46</v>
      </c>
      <c r="N34" s="7">
        <f t="shared" si="5"/>
        <v>1066.28</v>
      </c>
    </row>
    <row r="35" spans="1:14" x14ac:dyDescent="0.3">
      <c r="A35" s="5" t="s">
        <v>46</v>
      </c>
      <c r="B35" s="7">
        <f>181.85</f>
        <v>181.85</v>
      </c>
      <c r="C35" s="7">
        <f>309.9</f>
        <v>309.89999999999998</v>
      </c>
      <c r="D35" s="7">
        <f>2232.33</f>
        <v>2232.33</v>
      </c>
      <c r="E35" s="7">
        <f>542.8</f>
        <v>542.79999999999995</v>
      </c>
      <c r="F35" s="7">
        <f>129.02</f>
        <v>129.02000000000001</v>
      </c>
      <c r="G35" s="7">
        <f>1561.46</f>
        <v>1561.46</v>
      </c>
      <c r="H35" s="7">
        <f>969.81</f>
        <v>969.81</v>
      </c>
      <c r="I35" s="7">
        <f>2195.38</f>
        <v>2195.38</v>
      </c>
      <c r="J35" s="7">
        <f>2199.15</f>
        <v>2199.15</v>
      </c>
      <c r="K35" s="7">
        <f>3713.87</f>
        <v>3713.87</v>
      </c>
      <c r="L35" s="7">
        <f>16.18</f>
        <v>16.18</v>
      </c>
      <c r="M35" s="7">
        <f>16.18</f>
        <v>16.18</v>
      </c>
      <c r="N35" s="7">
        <f t="shared" si="5"/>
        <v>14067.93</v>
      </c>
    </row>
    <row r="36" spans="1:14" x14ac:dyDescent="0.3">
      <c r="A36" s="5" t="s">
        <v>47</v>
      </c>
      <c r="B36" s="6"/>
      <c r="C36" s="6"/>
      <c r="D36" s="7">
        <f>1000</f>
        <v>1000</v>
      </c>
      <c r="E36" s="7">
        <f>543</f>
        <v>543</v>
      </c>
      <c r="F36" s="7">
        <f>570</f>
        <v>570</v>
      </c>
      <c r="G36" s="7">
        <f>827.78</f>
        <v>827.78</v>
      </c>
      <c r="H36" s="7">
        <f>499.54</f>
        <v>499.54</v>
      </c>
      <c r="I36" s="7">
        <f>913.9</f>
        <v>913.9</v>
      </c>
      <c r="J36" s="7">
        <f>44.17</f>
        <v>44.17</v>
      </c>
      <c r="K36" s="7">
        <f>394.85</f>
        <v>394.85</v>
      </c>
      <c r="L36" s="7">
        <f>634.84</f>
        <v>634.84</v>
      </c>
      <c r="M36" s="7">
        <f>1209.92</f>
        <v>1209.92</v>
      </c>
      <c r="N36" s="7">
        <f t="shared" si="5"/>
        <v>6638</v>
      </c>
    </row>
    <row r="37" spans="1:14" x14ac:dyDescent="0.3">
      <c r="A37" s="5" t="s">
        <v>48</v>
      </c>
      <c r="B37" s="6"/>
      <c r="C37" s="6"/>
      <c r="D37" s="6"/>
      <c r="E37" s="6"/>
      <c r="F37" s="6"/>
      <c r="G37" s="6"/>
      <c r="H37" s="6"/>
      <c r="I37" s="6"/>
      <c r="J37" s="6"/>
      <c r="K37" s="6"/>
      <c r="L37" s="7">
        <f>897.77</f>
        <v>897.77</v>
      </c>
      <c r="M37" s="7">
        <f>526.95</f>
        <v>526.95000000000005</v>
      </c>
      <c r="N37" s="7">
        <f t="shared" si="5"/>
        <v>1424.72</v>
      </c>
    </row>
    <row r="38" spans="1:14" x14ac:dyDescent="0.3">
      <c r="A38" s="5" t="s">
        <v>49</v>
      </c>
      <c r="B38" s="8">
        <f t="shared" ref="B38:M38" si="7">((B35)+(B36))+(B37)</f>
        <v>181.85</v>
      </c>
      <c r="C38" s="8">
        <f t="shared" si="7"/>
        <v>309.89999999999998</v>
      </c>
      <c r="D38" s="8">
        <f t="shared" si="7"/>
        <v>3232.33</v>
      </c>
      <c r="E38" s="8">
        <f t="shared" si="7"/>
        <v>1085.8</v>
      </c>
      <c r="F38" s="8">
        <f t="shared" si="7"/>
        <v>699.02</v>
      </c>
      <c r="G38" s="8">
        <f t="shared" si="7"/>
        <v>2389.2399999999998</v>
      </c>
      <c r="H38" s="8">
        <f t="shared" si="7"/>
        <v>1469.35</v>
      </c>
      <c r="I38" s="8">
        <f t="shared" si="7"/>
        <v>3109.28</v>
      </c>
      <c r="J38" s="8">
        <f t="shared" si="7"/>
        <v>2243.3200000000002</v>
      </c>
      <c r="K38" s="8">
        <f t="shared" si="7"/>
        <v>4108.72</v>
      </c>
      <c r="L38" s="8">
        <f t="shared" si="7"/>
        <v>1548.79</v>
      </c>
      <c r="M38" s="8">
        <f t="shared" si="7"/>
        <v>1753.0500000000002</v>
      </c>
      <c r="N38" s="8">
        <f t="shared" si="5"/>
        <v>22130.65</v>
      </c>
    </row>
    <row r="39" spans="1:14" x14ac:dyDescent="0.3">
      <c r="A39" s="5" t="s">
        <v>50</v>
      </c>
      <c r="B39" s="6"/>
      <c r="C39" s="6"/>
      <c r="D39" s="6"/>
      <c r="E39" s="6"/>
      <c r="F39" s="6"/>
      <c r="G39" s="6"/>
      <c r="H39" s="6"/>
      <c r="I39" s="6"/>
      <c r="J39" s="6"/>
      <c r="K39" s="7">
        <f>26</f>
        <v>26</v>
      </c>
      <c r="L39" s="6"/>
      <c r="M39" s="6"/>
      <c r="N39" s="7">
        <f t="shared" si="5"/>
        <v>26</v>
      </c>
    </row>
    <row r="40" spans="1:14" x14ac:dyDescent="0.3">
      <c r="A40" s="5" t="s">
        <v>51</v>
      </c>
      <c r="B40" s="7">
        <f>192.73</f>
        <v>192.73</v>
      </c>
      <c r="C40" s="7">
        <f>44.35</f>
        <v>44.35</v>
      </c>
      <c r="D40" s="7">
        <f>83.07</f>
        <v>83.07</v>
      </c>
      <c r="E40" s="7">
        <f>17.82</f>
        <v>17.82</v>
      </c>
      <c r="F40" s="7">
        <f>8.41</f>
        <v>8.41</v>
      </c>
      <c r="G40" s="7">
        <f>4.85</f>
        <v>4.8499999999999996</v>
      </c>
      <c r="H40" s="7">
        <f>44.13</f>
        <v>44.13</v>
      </c>
      <c r="I40" s="7">
        <f>19.06</f>
        <v>19.059999999999999</v>
      </c>
      <c r="J40" s="7">
        <f>1201.77</f>
        <v>1201.77</v>
      </c>
      <c r="K40" s="7">
        <f>2265.64</f>
        <v>2265.64</v>
      </c>
      <c r="L40" s="6"/>
      <c r="M40" s="7">
        <f>415.07</f>
        <v>415.07</v>
      </c>
      <c r="N40" s="7">
        <f t="shared" si="5"/>
        <v>4296.8999999999996</v>
      </c>
    </row>
    <row r="41" spans="1:14" x14ac:dyDescent="0.3">
      <c r="A41" s="5" t="s">
        <v>52</v>
      </c>
      <c r="B41" s="6"/>
      <c r="C41" s="7">
        <f>8.4</f>
        <v>8.4</v>
      </c>
      <c r="D41" s="7">
        <f>8.06</f>
        <v>8.06</v>
      </c>
      <c r="E41" s="7">
        <f>122</f>
        <v>122</v>
      </c>
      <c r="F41" s="7">
        <f>35.23</f>
        <v>35.229999999999997</v>
      </c>
      <c r="G41" s="7">
        <f>40.67</f>
        <v>40.67</v>
      </c>
      <c r="H41" s="7">
        <f>16.74</f>
        <v>16.739999999999998</v>
      </c>
      <c r="I41" s="7">
        <f>108.24</f>
        <v>108.24</v>
      </c>
      <c r="J41" s="7">
        <f>40.91</f>
        <v>40.909999999999997</v>
      </c>
      <c r="K41" s="6"/>
      <c r="L41" s="6"/>
      <c r="M41" s="7">
        <f>587.11</f>
        <v>587.11</v>
      </c>
      <c r="N41" s="7">
        <f t="shared" si="5"/>
        <v>967.36</v>
      </c>
    </row>
    <row r="42" spans="1:14" x14ac:dyDescent="0.3">
      <c r="A42" s="5" t="s">
        <v>53</v>
      </c>
      <c r="B42" s="8">
        <f t="shared" ref="B42:M42" si="8">((B39)+(B40))+(B41)</f>
        <v>192.73</v>
      </c>
      <c r="C42" s="8">
        <f t="shared" si="8"/>
        <v>52.75</v>
      </c>
      <c r="D42" s="8">
        <f t="shared" si="8"/>
        <v>91.13</v>
      </c>
      <c r="E42" s="8">
        <f t="shared" si="8"/>
        <v>139.82</v>
      </c>
      <c r="F42" s="8">
        <f t="shared" si="8"/>
        <v>43.64</v>
      </c>
      <c r="G42" s="8">
        <f t="shared" si="8"/>
        <v>45.52</v>
      </c>
      <c r="H42" s="8">
        <f t="shared" si="8"/>
        <v>60.870000000000005</v>
      </c>
      <c r="I42" s="8">
        <f t="shared" si="8"/>
        <v>127.3</v>
      </c>
      <c r="J42" s="8">
        <f t="shared" si="8"/>
        <v>1242.68</v>
      </c>
      <c r="K42" s="8">
        <f t="shared" si="8"/>
        <v>2291.64</v>
      </c>
      <c r="L42" s="8">
        <f t="shared" si="8"/>
        <v>0</v>
      </c>
      <c r="M42" s="8">
        <f t="shared" si="8"/>
        <v>1002.1800000000001</v>
      </c>
      <c r="N42" s="8">
        <f t="shared" si="5"/>
        <v>5290.26</v>
      </c>
    </row>
    <row r="43" spans="1:14" x14ac:dyDescent="0.3">
      <c r="A43" s="5" t="s">
        <v>54</v>
      </c>
      <c r="B43" s="6"/>
      <c r="C43" s="6"/>
      <c r="D43" s="6"/>
      <c r="E43" s="6"/>
      <c r="F43" s="6"/>
      <c r="G43" s="6"/>
      <c r="H43" s="6"/>
      <c r="I43" s="7">
        <f>2500</f>
        <v>2500</v>
      </c>
      <c r="J43" s="6"/>
      <c r="K43" s="6"/>
      <c r="L43" s="6"/>
      <c r="M43" s="6"/>
      <c r="N43" s="7">
        <f t="shared" si="5"/>
        <v>2500</v>
      </c>
    </row>
    <row r="44" spans="1:14" x14ac:dyDescent="0.3">
      <c r="A44" s="5" t="s">
        <v>55</v>
      </c>
      <c r="B44" s="7">
        <f>54</f>
        <v>54</v>
      </c>
      <c r="C44" s="7">
        <f>1027.96</f>
        <v>1027.96</v>
      </c>
      <c r="D44" s="7">
        <f>504</f>
        <v>504</v>
      </c>
      <c r="E44" s="7">
        <f>1264</f>
        <v>1264</v>
      </c>
      <c r="F44" s="7">
        <f>479</f>
        <v>479</v>
      </c>
      <c r="G44" s="7">
        <f>653.4</f>
        <v>653.4</v>
      </c>
      <c r="H44" s="7">
        <f>54</f>
        <v>54</v>
      </c>
      <c r="I44" s="6"/>
      <c r="J44" s="7">
        <f>54</f>
        <v>54</v>
      </c>
      <c r="K44" s="7">
        <f>3038.65</f>
        <v>3038.65</v>
      </c>
      <c r="L44" s="7">
        <f>4162.7</f>
        <v>4162.7</v>
      </c>
      <c r="M44" s="7">
        <f>4204.66</f>
        <v>4204.66</v>
      </c>
      <c r="N44" s="7">
        <f t="shared" si="5"/>
        <v>15496.369999999999</v>
      </c>
    </row>
    <row r="45" spans="1:14" x14ac:dyDescent="0.3">
      <c r="A45" s="5" t="s">
        <v>56</v>
      </c>
      <c r="B45" s="6"/>
      <c r="C45" s="6"/>
      <c r="D45" s="6"/>
      <c r="E45" s="6"/>
      <c r="F45" s="6"/>
      <c r="G45" s="6"/>
      <c r="H45" s="6"/>
      <c r="I45" s="6"/>
      <c r="J45" s="6"/>
      <c r="K45" s="7">
        <f>1308.5</f>
        <v>1308.5</v>
      </c>
      <c r="L45" s="7">
        <f>2665.5</f>
        <v>2665.5</v>
      </c>
      <c r="M45" s="6"/>
      <c r="N45" s="7">
        <f t="shared" si="5"/>
        <v>3974</v>
      </c>
    </row>
    <row r="46" spans="1:14" x14ac:dyDescent="0.3">
      <c r="A46" s="5" t="s">
        <v>57</v>
      </c>
      <c r="B46" s="6"/>
      <c r="C46" s="7">
        <f>3156.5</f>
        <v>3156.5</v>
      </c>
      <c r="D46" s="7">
        <f>6020.5</f>
        <v>6020.5</v>
      </c>
      <c r="E46" s="7">
        <f>354</f>
        <v>354</v>
      </c>
      <c r="F46" s="7">
        <f>5790.94</f>
        <v>5790.94</v>
      </c>
      <c r="G46" s="7">
        <f>1790.5</f>
        <v>1790.5</v>
      </c>
      <c r="H46" s="7">
        <f>1008</f>
        <v>1008</v>
      </c>
      <c r="I46" s="7">
        <f>1239</f>
        <v>1239</v>
      </c>
      <c r="J46" s="7">
        <f>1133.58</f>
        <v>1133.58</v>
      </c>
      <c r="K46" s="7">
        <f>2899</f>
        <v>2899</v>
      </c>
      <c r="L46" s="7">
        <f>2210.5</f>
        <v>2210.5</v>
      </c>
      <c r="M46" s="7">
        <f>1311</f>
        <v>1311</v>
      </c>
      <c r="N46" s="7">
        <f t="shared" si="5"/>
        <v>26913.519999999997</v>
      </c>
    </row>
    <row r="47" spans="1:14" x14ac:dyDescent="0.3">
      <c r="A47" s="5" t="s">
        <v>58</v>
      </c>
      <c r="B47" s="8">
        <f t="shared" ref="B47:M47" si="9">(((B43)+(B44))+(B45))+(B46)</f>
        <v>54</v>
      </c>
      <c r="C47" s="8">
        <f t="shared" si="9"/>
        <v>4184.46</v>
      </c>
      <c r="D47" s="8">
        <f t="shared" si="9"/>
        <v>6524.5</v>
      </c>
      <c r="E47" s="8">
        <f t="shared" si="9"/>
        <v>1618</v>
      </c>
      <c r="F47" s="8">
        <f t="shared" si="9"/>
        <v>6269.94</v>
      </c>
      <c r="G47" s="8">
        <f t="shared" si="9"/>
        <v>2443.9</v>
      </c>
      <c r="H47" s="8">
        <f t="shared" si="9"/>
        <v>1062</v>
      </c>
      <c r="I47" s="8">
        <f t="shared" si="9"/>
        <v>3739</v>
      </c>
      <c r="J47" s="8">
        <f t="shared" si="9"/>
        <v>1187.58</v>
      </c>
      <c r="K47" s="8">
        <f t="shared" si="9"/>
        <v>7246.15</v>
      </c>
      <c r="L47" s="8">
        <f t="shared" si="9"/>
        <v>9038.7000000000007</v>
      </c>
      <c r="M47" s="8">
        <f t="shared" si="9"/>
        <v>5515.66</v>
      </c>
      <c r="N47" s="8">
        <f t="shared" si="5"/>
        <v>48883.89</v>
      </c>
    </row>
    <row r="48" spans="1:14" x14ac:dyDescent="0.3">
      <c r="A48" s="5" t="s">
        <v>59</v>
      </c>
      <c r="B48" s="7">
        <f>105</f>
        <v>105</v>
      </c>
      <c r="C48" s="7">
        <f>320</f>
        <v>320</v>
      </c>
      <c r="D48" s="7">
        <f>1520</f>
        <v>1520</v>
      </c>
      <c r="E48" s="7">
        <f>916.38</f>
        <v>916.38</v>
      </c>
      <c r="F48" s="7">
        <f>1265</f>
        <v>1265</v>
      </c>
      <c r="G48" s="7">
        <f>1260</f>
        <v>1260</v>
      </c>
      <c r="H48" s="7">
        <f>1517.97</f>
        <v>1517.97</v>
      </c>
      <c r="I48" s="7">
        <f>1837.96</f>
        <v>1837.96</v>
      </c>
      <c r="J48" s="7">
        <f>1579.12</f>
        <v>1579.12</v>
      </c>
      <c r="K48" s="7">
        <f>521.63</f>
        <v>521.63</v>
      </c>
      <c r="L48" s="7">
        <f>6965.18</f>
        <v>6965.18</v>
      </c>
      <c r="M48" s="7">
        <f>585.27</f>
        <v>585.27</v>
      </c>
      <c r="N48" s="7">
        <f t="shared" si="5"/>
        <v>18393.509999999998</v>
      </c>
    </row>
    <row r="49" spans="1:14" x14ac:dyDescent="0.3">
      <c r="A49" s="5" t="s">
        <v>60</v>
      </c>
      <c r="B49" s="7">
        <f>6500</f>
        <v>6500</v>
      </c>
      <c r="C49" s="7">
        <f>6500</f>
        <v>6500</v>
      </c>
      <c r="D49" s="7">
        <f>6500</f>
        <v>6500</v>
      </c>
      <c r="E49" s="7">
        <f>13000</f>
        <v>13000</v>
      </c>
      <c r="F49" s="7">
        <f>6685.8</f>
        <v>6685.8</v>
      </c>
      <c r="G49" s="7">
        <f>4733</f>
        <v>4733</v>
      </c>
      <c r="H49" s="7">
        <f>19666</f>
        <v>19666</v>
      </c>
      <c r="I49" s="7">
        <f>14933</f>
        <v>14933</v>
      </c>
      <c r="J49" s="7">
        <f>14933</f>
        <v>14933</v>
      </c>
      <c r="K49" s="7">
        <f>14933</f>
        <v>14933</v>
      </c>
      <c r="L49" s="7">
        <f>14933</f>
        <v>14933</v>
      </c>
      <c r="M49" s="7">
        <f>14933</f>
        <v>14933</v>
      </c>
      <c r="N49" s="7">
        <f t="shared" si="5"/>
        <v>138249.79999999999</v>
      </c>
    </row>
    <row r="50" spans="1:14" x14ac:dyDescent="0.3">
      <c r="A50" s="5" t="s">
        <v>61</v>
      </c>
      <c r="B50" s="7">
        <f>1896.02</f>
        <v>1896.02</v>
      </c>
      <c r="C50" s="7">
        <f>1786.09</f>
        <v>1786.09</v>
      </c>
      <c r="D50" s="7">
        <f>3601.21</f>
        <v>3601.21</v>
      </c>
      <c r="E50" s="7">
        <f>3735.61</f>
        <v>3735.61</v>
      </c>
      <c r="F50" s="7">
        <f>3074.56</f>
        <v>3074.56</v>
      </c>
      <c r="G50" s="7">
        <f>5486.15</f>
        <v>5486.15</v>
      </c>
      <c r="H50" s="7">
        <f>3065.71</f>
        <v>3065.71</v>
      </c>
      <c r="I50" s="7">
        <f>4622.08</f>
        <v>4622.08</v>
      </c>
      <c r="J50" s="7">
        <f>8538.89</f>
        <v>8538.89</v>
      </c>
      <c r="K50" s="7">
        <f>7570.46</f>
        <v>7570.46</v>
      </c>
      <c r="L50" s="7">
        <f>5791.33</f>
        <v>5791.33</v>
      </c>
      <c r="M50" s="7">
        <f>6492.86</f>
        <v>6492.86</v>
      </c>
      <c r="N50" s="7">
        <f t="shared" si="5"/>
        <v>55660.97</v>
      </c>
    </row>
    <row r="51" spans="1:14" x14ac:dyDescent="0.3">
      <c r="A51" s="5" t="s">
        <v>62</v>
      </c>
      <c r="B51" s="6"/>
      <c r="C51" s="6"/>
      <c r="D51" s="6"/>
      <c r="E51" s="6"/>
      <c r="F51" s="6"/>
      <c r="G51" s="6"/>
      <c r="H51" s="6"/>
      <c r="I51" s="6"/>
      <c r="J51" s="6"/>
      <c r="K51" s="7">
        <f>54.9</f>
        <v>54.9</v>
      </c>
      <c r="L51" s="7">
        <f>4016.87</f>
        <v>4016.87</v>
      </c>
      <c r="M51" s="6"/>
      <c r="N51" s="7">
        <f t="shared" si="5"/>
        <v>4071.77</v>
      </c>
    </row>
    <row r="52" spans="1:14" x14ac:dyDescent="0.3">
      <c r="A52" s="5" t="s">
        <v>63</v>
      </c>
      <c r="B52" s="6"/>
      <c r="C52" s="6"/>
      <c r="D52" s="6"/>
      <c r="E52" s="6"/>
      <c r="F52" s="7">
        <f>114.69</f>
        <v>114.69</v>
      </c>
      <c r="G52" s="6"/>
      <c r="H52" s="6"/>
      <c r="I52" s="6"/>
      <c r="J52" s="7">
        <f>457.81</f>
        <v>457.81</v>
      </c>
      <c r="K52" s="6"/>
      <c r="L52" s="6"/>
      <c r="M52" s="6"/>
      <c r="N52" s="7">
        <f t="shared" si="5"/>
        <v>572.5</v>
      </c>
    </row>
    <row r="53" spans="1:14" x14ac:dyDescent="0.3">
      <c r="A53" s="5" t="s">
        <v>64</v>
      </c>
      <c r="B53" s="7">
        <f>94.83</f>
        <v>94.83</v>
      </c>
      <c r="C53" s="6"/>
      <c r="D53" s="7">
        <f>132.6</f>
        <v>132.6</v>
      </c>
      <c r="E53" s="7">
        <f>1475.23</f>
        <v>1475.23</v>
      </c>
      <c r="F53" s="7">
        <f>155.16</f>
        <v>155.16</v>
      </c>
      <c r="G53" s="6"/>
      <c r="H53" s="7">
        <f>200.4</f>
        <v>200.4</v>
      </c>
      <c r="I53" s="7">
        <f>748.56</f>
        <v>748.56</v>
      </c>
      <c r="J53" s="7">
        <f>958.89</f>
        <v>958.89</v>
      </c>
      <c r="K53" s="7">
        <f>191.21</f>
        <v>191.21</v>
      </c>
      <c r="L53" s="7">
        <f>4301.62</f>
        <v>4301.62</v>
      </c>
      <c r="M53" s="7">
        <f>5232.74</f>
        <v>5232.74</v>
      </c>
      <c r="N53" s="7">
        <f t="shared" si="5"/>
        <v>13491.24</v>
      </c>
    </row>
    <row r="54" spans="1:14" x14ac:dyDescent="0.3">
      <c r="A54" s="5" t="s">
        <v>65</v>
      </c>
      <c r="B54" s="7">
        <f>46</f>
        <v>46</v>
      </c>
      <c r="C54" s="7">
        <f>11.5</f>
        <v>11.5</v>
      </c>
      <c r="D54" s="7">
        <f>578.59</f>
        <v>578.59</v>
      </c>
      <c r="E54" s="7">
        <f>655.48</f>
        <v>655.48</v>
      </c>
      <c r="F54" s="7">
        <f>541.62</f>
        <v>541.62</v>
      </c>
      <c r="G54" s="7">
        <f>275.05</f>
        <v>275.05</v>
      </c>
      <c r="H54" s="7">
        <f>203.03</f>
        <v>203.03</v>
      </c>
      <c r="I54" s="7">
        <f>842.48</f>
        <v>842.48</v>
      </c>
      <c r="J54" s="7">
        <f>696.02</f>
        <v>696.02</v>
      </c>
      <c r="K54" s="7">
        <f>366.1</f>
        <v>366.1</v>
      </c>
      <c r="L54" s="7">
        <f>1120.7</f>
        <v>1120.7</v>
      </c>
      <c r="M54" s="7">
        <f>578.19</f>
        <v>578.19000000000005</v>
      </c>
      <c r="N54" s="7">
        <f t="shared" si="5"/>
        <v>5914.76</v>
      </c>
    </row>
    <row r="55" spans="1:14" x14ac:dyDescent="0.3">
      <c r="A55" s="5" t="s">
        <v>66</v>
      </c>
      <c r="B55" s="8">
        <f t="shared" ref="B55:M55" si="10">(B53)+(B54)</f>
        <v>140.82999999999998</v>
      </c>
      <c r="C55" s="8">
        <f t="shared" si="10"/>
        <v>11.5</v>
      </c>
      <c r="D55" s="8">
        <f t="shared" si="10"/>
        <v>711.19</v>
      </c>
      <c r="E55" s="8">
        <f t="shared" si="10"/>
        <v>2130.71</v>
      </c>
      <c r="F55" s="8">
        <f t="shared" si="10"/>
        <v>696.78</v>
      </c>
      <c r="G55" s="8">
        <f t="shared" si="10"/>
        <v>275.05</v>
      </c>
      <c r="H55" s="8">
        <f t="shared" si="10"/>
        <v>403.43</v>
      </c>
      <c r="I55" s="8">
        <f t="shared" si="10"/>
        <v>1591.04</v>
      </c>
      <c r="J55" s="8">
        <f t="shared" si="10"/>
        <v>1654.9099999999999</v>
      </c>
      <c r="K55" s="8">
        <f t="shared" si="10"/>
        <v>557.31000000000006</v>
      </c>
      <c r="L55" s="8">
        <f t="shared" si="10"/>
        <v>5422.32</v>
      </c>
      <c r="M55" s="8">
        <f t="shared" si="10"/>
        <v>5810.93</v>
      </c>
      <c r="N55" s="8">
        <f t="shared" si="5"/>
        <v>19406</v>
      </c>
    </row>
    <row r="56" spans="1:14" x14ac:dyDescent="0.3">
      <c r="A56" s="5" t="s">
        <v>67</v>
      </c>
      <c r="B56" s="7">
        <f>742.36</f>
        <v>742.36</v>
      </c>
      <c r="C56" s="7">
        <f>822.17</f>
        <v>822.17</v>
      </c>
      <c r="D56" s="7">
        <f>540.73</f>
        <v>540.73</v>
      </c>
      <c r="E56" s="7">
        <f>626.14</f>
        <v>626.14</v>
      </c>
      <c r="F56" s="7">
        <f>2063.02</f>
        <v>2063.02</v>
      </c>
      <c r="G56" s="7">
        <f>2129.38</f>
        <v>2129.38</v>
      </c>
      <c r="H56" s="7">
        <f>2763.91</f>
        <v>2763.91</v>
      </c>
      <c r="I56" s="7">
        <f>8165</f>
        <v>8165</v>
      </c>
      <c r="J56" s="7">
        <f>4012.91</f>
        <v>4012.91</v>
      </c>
      <c r="K56" s="7">
        <f>3688.49</f>
        <v>3688.49</v>
      </c>
      <c r="L56" s="7">
        <f>3548.87</f>
        <v>3548.87</v>
      </c>
      <c r="M56" s="7">
        <f>3744.46</f>
        <v>3744.46</v>
      </c>
      <c r="N56" s="7">
        <f t="shared" si="5"/>
        <v>32847.440000000002</v>
      </c>
    </row>
    <row r="57" spans="1:14" x14ac:dyDescent="0.3">
      <c r="A57" s="5" t="s">
        <v>68</v>
      </c>
      <c r="B57" s="7">
        <f>2228.7</f>
        <v>2228.6999999999998</v>
      </c>
      <c r="C57" s="7">
        <f>2954.21</f>
        <v>2954.21</v>
      </c>
      <c r="D57" s="7">
        <f>13688.05</f>
        <v>13688.05</v>
      </c>
      <c r="E57" s="7">
        <f>7336.34</f>
        <v>7336.34</v>
      </c>
      <c r="F57" s="7">
        <f>10235.23</f>
        <v>10235.23</v>
      </c>
      <c r="G57" s="7">
        <f>13907.14</f>
        <v>13907.14</v>
      </c>
      <c r="H57" s="7">
        <f>25135.64</f>
        <v>25135.64</v>
      </c>
      <c r="I57" s="7">
        <f>37818.23</f>
        <v>37818.230000000003</v>
      </c>
      <c r="J57" s="7">
        <f>18570.63</f>
        <v>18570.63</v>
      </c>
      <c r="K57" s="7">
        <f>11354.92</f>
        <v>11354.92</v>
      </c>
      <c r="L57" s="7">
        <f>3114.23</f>
        <v>3114.23</v>
      </c>
      <c r="M57" s="7">
        <f>4155.17</f>
        <v>4155.17</v>
      </c>
      <c r="N57" s="7">
        <f t="shared" si="5"/>
        <v>150498.49000000005</v>
      </c>
    </row>
    <row r="58" spans="1:14" x14ac:dyDescent="0.3">
      <c r="A58" s="5" t="s">
        <v>69</v>
      </c>
      <c r="B58" s="8">
        <f t="shared" ref="B58:M58" si="11">(((((((((((((((B28)+(B31))+(B32))+(B33))+(B34))+(B38))+(B42))+(B47))+(B48))+(B49))+(B50))+(B51))+(B52))+(B55))+(B56))+(B57)</f>
        <v>12227.95</v>
      </c>
      <c r="C58" s="8">
        <f t="shared" si="11"/>
        <v>17516.47</v>
      </c>
      <c r="D58" s="8">
        <f t="shared" si="11"/>
        <v>37352.31</v>
      </c>
      <c r="E58" s="8">
        <f t="shared" si="11"/>
        <v>31111.91</v>
      </c>
      <c r="F58" s="8">
        <f t="shared" si="11"/>
        <v>37264.58</v>
      </c>
      <c r="G58" s="8">
        <f t="shared" si="11"/>
        <v>32732.35</v>
      </c>
      <c r="H58" s="8">
        <f t="shared" si="11"/>
        <v>55275.82</v>
      </c>
      <c r="I58" s="8">
        <f t="shared" si="11"/>
        <v>77143.66</v>
      </c>
      <c r="J58" s="8">
        <f t="shared" si="11"/>
        <v>54512.630000000005</v>
      </c>
      <c r="K58" s="8">
        <f t="shared" si="11"/>
        <v>54526.869999999995</v>
      </c>
      <c r="L58" s="8">
        <f t="shared" si="11"/>
        <v>62348.55000000001</v>
      </c>
      <c r="M58" s="8">
        <f t="shared" si="11"/>
        <v>49347.85</v>
      </c>
      <c r="N58" s="8">
        <f t="shared" si="5"/>
        <v>521360.95</v>
      </c>
    </row>
    <row r="59" spans="1:14" x14ac:dyDescent="0.3">
      <c r="A59" s="5" t="s">
        <v>70</v>
      </c>
      <c r="B59" s="6"/>
      <c r="C59" s="6"/>
      <c r="D59" s="6"/>
      <c r="E59" s="6"/>
      <c r="F59" s="6"/>
      <c r="G59" s="6"/>
      <c r="H59" s="6"/>
      <c r="I59" s="6"/>
      <c r="J59" s="7">
        <f>826.43</f>
        <v>826.43</v>
      </c>
      <c r="K59" s="6"/>
      <c r="L59" s="6"/>
      <c r="M59" s="6"/>
      <c r="N59" s="7">
        <f t="shared" si="5"/>
        <v>826.43</v>
      </c>
    </row>
    <row r="60" spans="1:14" x14ac:dyDescent="0.3">
      <c r="A60" s="5" t="s">
        <v>71</v>
      </c>
      <c r="B60" s="6"/>
      <c r="C60" s="6"/>
      <c r="D60" s="6"/>
      <c r="E60" s="6"/>
      <c r="F60" s="6"/>
      <c r="G60" s="6"/>
      <c r="H60" s="7">
        <f>20772.3</f>
        <v>20772.3</v>
      </c>
      <c r="I60" s="7">
        <f>67551.14</f>
        <v>67551.14</v>
      </c>
      <c r="J60" s="7">
        <f>34121.1</f>
        <v>34121.1</v>
      </c>
      <c r="K60" s="7">
        <f>80908.44</f>
        <v>80908.44</v>
      </c>
      <c r="L60" s="7">
        <f>63538.19</f>
        <v>63538.19</v>
      </c>
      <c r="M60" s="7">
        <f>36543.9</f>
        <v>36543.9</v>
      </c>
      <c r="N60" s="7">
        <f t="shared" si="5"/>
        <v>303435.07000000007</v>
      </c>
    </row>
    <row r="61" spans="1:14" x14ac:dyDescent="0.3">
      <c r="A61" s="5" t="s">
        <v>72</v>
      </c>
      <c r="B61" s="7">
        <f>433</f>
        <v>433</v>
      </c>
      <c r="C61" s="7">
        <f>697</f>
        <v>697</v>
      </c>
      <c r="D61" s="7">
        <f>993</f>
        <v>993</v>
      </c>
      <c r="E61" s="7">
        <f>1005</f>
        <v>1005</v>
      </c>
      <c r="F61" s="7">
        <f>854</f>
        <v>854</v>
      </c>
      <c r="G61" s="7">
        <f>992</f>
        <v>992</v>
      </c>
      <c r="H61" s="7">
        <f>1681</f>
        <v>1681</v>
      </c>
      <c r="I61" s="7">
        <f>847</f>
        <v>847</v>
      </c>
      <c r="J61" s="7">
        <f>936</f>
        <v>936</v>
      </c>
      <c r="K61" s="7">
        <f>1160</f>
        <v>1160</v>
      </c>
      <c r="L61" s="7">
        <f>110</f>
        <v>110</v>
      </c>
      <c r="M61" s="7">
        <f>66</f>
        <v>66</v>
      </c>
      <c r="N61" s="7">
        <f t="shared" si="5"/>
        <v>9774</v>
      </c>
    </row>
    <row r="62" spans="1:14" x14ac:dyDescent="0.3">
      <c r="A62" s="5" t="s">
        <v>73</v>
      </c>
      <c r="B62" s="7">
        <f>1852.96</f>
        <v>1852.96</v>
      </c>
      <c r="C62" s="7">
        <f>4000</f>
        <v>4000</v>
      </c>
      <c r="D62" s="7">
        <f>11500</f>
        <v>11500</v>
      </c>
      <c r="E62" s="7">
        <f>10500</f>
        <v>10500</v>
      </c>
      <c r="F62" s="7">
        <f>10500</f>
        <v>10500</v>
      </c>
      <c r="G62" s="7">
        <f>14000</f>
        <v>14000</v>
      </c>
      <c r="H62" s="7">
        <f>17500</f>
        <v>17500</v>
      </c>
      <c r="I62" s="7">
        <f>30437.11</f>
        <v>30437.11</v>
      </c>
      <c r="J62" s="7">
        <f>29200</f>
        <v>29200</v>
      </c>
      <c r="K62" s="7">
        <f>19031.12</f>
        <v>19031.12</v>
      </c>
      <c r="L62" s="7">
        <f>25475.18</f>
        <v>25475.18</v>
      </c>
      <c r="M62" s="7">
        <f>10502.12</f>
        <v>10502.12</v>
      </c>
      <c r="N62" s="7">
        <f t="shared" si="5"/>
        <v>184498.49</v>
      </c>
    </row>
    <row r="63" spans="1:14" x14ac:dyDescent="0.3">
      <c r="A63" s="5" t="s">
        <v>74</v>
      </c>
      <c r="B63" s="7">
        <f>15</f>
        <v>15</v>
      </c>
      <c r="C63" s="6"/>
      <c r="D63" s="7">
        <f>27</f>
        <v>27</v>
      </c>
      <c r="E63" s="7">
        <f>51</f>
        <v>51</v>
      </c>
      <c r="F63" s="7">
        <f>27</f>
        <v>27</v>
      </c>
      <c r="G63" s="7">
        <f>8.12</f>
        <v>8.1199999999999992</v>
      </c>
      <c r="H63" s="7">
        <f>48</f>
        <v>48</v>
      </c>
      <c r="I63" s="7">
        <f>108</f>
        <v>108</v>
      </c>
      <c r="J63" s="7">
        <f>21</f>
        <v>21</v>
      </c>
      <c r="K63" s="6"/>
      <c r="L63" s="7">
        <f>96</f>
        <v>96</v>
      </c>
      <c r="M63" s="6"/>
      <c r="N63" s="7">
        <f t="shared" si="5"/>
        <v>401.12</v>
      </c>
    </row>
    <row r="64" spans="1:14" x14ac:dyDescent="0.3">
      <c r="A64" s="5" t="s">
        <v>75</v>
      </c>
      <c r="B64" s="7">
        <f>118000</f>
        <v>118000</v>
      </c>
      <c r="C64" s="7">
        <f>178500.1</f>
        <v>178500.1</v>
      </c>
      <c r="D64" s="7">
        <f>211499.9</f>
        <v>211499.9</v>
      </c>
      <c r="E64" s="7">
        <f>130135.49</f>
        <v>130135.49</v>
      </c>
      <c r="F64" s="7">
        <f>207947.34</f>
        <v>207947.34</v>
      </c>
      <c r="G64" s="7">
        <f>273556.82</f>
        <v>273556.82</v>
      </c>
      <c r="H64" s="7">
        <f>298911.71</f>
        <v>298911.71000000002</v>
      </c>
      <c r="I64" s="7">
        <f>206177.08</f>
        <v>206177.08</v>
      </c>
      <c r="J64" s="7">
        <f>430522.45</f>
        <v>430522.45</v>
      </c>
      <c r="K64" s="7">
        <f>485759.35</f>
        <v>485759.35</v>
      </c>
      <c r="L64" s="7">
        <f>218307.58</f>
        <v>218307.58</v>
      </c>
      <c r="M64" s="7">
        <f>128417.22</f>
        <v>128417.22</v>
      </c>
      <c r="N64" s="7">
        <f t="shared" si="5"/>
        <v>2887735.04</v>
      </c>
    </row>
    <row r="65" spans="1:14" x14ac:dyDescent="0.3">
      <c r="A65" s="5" t="s">
        <v>76</v>
      </c>
      <c r="B65" s="7">
        <f>378.95</f>
        <v>378.95</v>
      </c>
      <c r="C65" s="7">
        <f>528.95</f>
        <v>528.95000000000005</v>
      </c>
      <c r="D65" s="7">
        <f>1117.76</f>
        <v>1117.76</v>
      </c>
      <c r="E65" s="7">
        <f>891.9</f>
        <v>891.9</v>
      </c>
      <c r="F65" s="7">
        <f>1286.48</f>
        <v>1286.48</v>
      </c>
      <c r="G65" s="7">
        <f>900.48</f>
        <v>900.48</v>
      </c>
      <c r="H65" s="7">
        <f>1334.48</f>
        <v>1334.48</v>
      </c>
      <c r="I65" s="7">
        <f>1498.48</f>
        <v>1498.48</v>
      </c>
      <c r="J65" s="7">
        <f>1191.48</f>
        <v>1191.48</v>
      </c>
      <c r="K65" s="7">
        <f>1772.48</f>
        <v>1772.48</v>
      </c>
      <c r="L65" s="7">
        <f>1314.48</f>
        <v>1314.48</v>
      </c>
      <c r="M65" s="7">
        <f>3393.48</f>
        <v>3393.48</v>
      </c>
      <c r="N65" s="7">
        <f t="shared" si="5"/>
        <v>15609.399999999998</v>
      </c>
    </row>
    <row r="66" spans="1:14" x14ac:dyDescent="0.3">
      <c r="A66" s="5" t="s">
        <v>77</v>
      </c>
      <c r="B66" s="7">
        <f>4000</f>
        <v>4000</v>
      </c>
      <c r="C66" s="7">
        <f>4497</f>
        <v>4497</v>
      </c>
      <c r="D66" s="7">
        <f>4381.75</f>
        <v>4381.75</v>
      </c>
      <c r="E66" s="7">
        <f>3993.4</f>
        <v>3993.4</v>
      </c>
      <c r="F66" s="7">
        <f>3892.52</f>
        <v>3892.52</v>
      </c>
      <c r="G66" s="7">
        <f>6012.53</f>
        <v>6012.53</v>
      </c>
      <c r="H66" s="7">
        <f>2086.95</f>
        <v>2086.9499999999998</v>
      </c>
      <c r="I66" s="7">
        <f>3000</f>
        <v>3000</v>
      </c>
      <c r="J66" s="7">
        <f>19000</f>
        <v>19000</v>
      </c>
      <c r="K66" s="7">
        <f>17460.65</f>
        <v>17460.650000000001</v>
      </c>
      <c r="L66" s="6"/>
      <c r="M66" s="7">
        <f>6</f>
        <v>6</v>
      </c>
      <c r="N66" s="7">
        <f t="shared" si="5"/>
        <v>68330.8</v>
      </c>
    </row>
    <row r="67" spans="1:14" x14ac:dyDescent="0.3">
      <c r="A67" s="5" t="s">
        <v>78</v>
      </c>
      <c r="B67" s="6"/>
      <c r="C67" s="6"/>
      <c r="D67" s="6"/>
      <c r="E67" s="6"/>
      <c r="F67" s="6"/>
      <c r="G67" s="7">
        <f>250.15</f>
        <v>250.15</v>
      </c>
      <c r="H67" s="6"/>
      <c r="I67" s="6"/>
      <c r="J67" s="6"/>
      <c r="K67" s="6"/>
      <c r="L67" s="6"/>
      <c r="M67" s="6"/>
      <c r="N67" s="7">
        <f t="shared" si="5"/>
        <v>250.15</v>
      </c>
    </row>
    <row r="68" spans="1:14" x14ac:dyDescent="0.3">
      <c r="A68" s="5" t="s">
        <v>79</v>
      </c>
      <c r="B68" s="6"/>
      <c r="C68" s="6"/>
      <c r="D68" s="6"/>
      <c r="E68" s="7">
        <f>4</f>
        <v>4</v>
      </c>
      <c r="F68" s="6"/>
      <c r="G68" s="7">
        <f>12</f>
        <v>12</v>
      </c>
      <c r="H68" s="6"/>
      <c r="I68" s="6"/>
      <c r="J68" s="6"/>
      <c r="K68" s="6"/>
      <c r="L68" s="6"/>
      <c r="M68" s="6"/>
      <c r="N68" s="7">
        <f t="shared" si="5"/>
        <v>16</v>
      </c>
    </row>
    <row r="69" spans="1:14" x14ac:dyDescent="0.3">
      <c r="A69" s="5" t="s">
        <v>80</v>
      </c>
      <c r="B69" s="7">
        <f>6400</f>
        <v>6400</v>
      </c>
      <c r="C69" s="7">
        <f>4800</f>
        <v>4800</v>
      </c>
      <c r="D69" s="7">
        <f>6000</f>
        <v>6000</v>
      </c>
      <c r="E69" s="7">
        <f>5000</f>
        <v>5000</v>
      </c>
      <c r="F69" s="7">
        <f>3000</f>
        <v>3000</v>
      </c>
      <c r="G69" s="7">
        <f>5000</f>
        <v>5000</v>
      </c>
      <c r="H69" s="7">
        <f>4000</f>
        <v>4000</v>
      </c>
      <c r="I69" s="7">
        <f>4000</f>
        <v>4000</v>
      </c>
      <c r="J69" s="7">
        <f>5000</f>
        <v>5000</v>
      </c>
      <c r="K69" s="7">
        <f>3000</f>
        <v>3000</v>
      </c>
      <c r="L69" s="7">
        <f>4000</f>
        <v>4000</v>
      </c>
      <c r="M69" s="7">
        <f>3000</f>
        <v>3000</v>
      </c>
      <c r="N69" s="7">
        <f t="shared" si="5"/>
        <v>53200</v>
      </c>
    </row>
    <row r="70" spans="1:14" x14ac:dyDescent="0.3">
      <c r="A70" s="5" t="s">
        <v>81</v>
      </c>
      <c r="B70" s="7">
        <f>281.08</f>
        <v>281.08</v>
      </c>
      <c r="C70" s="7">
        <f>314.16</f>
        <v>314.16000000000003</v>
      </c>
      <c r="D70" s="7">
        <f>482.63</f>
        <v>482.63</v>
      </c>
      <c r="E70" s="7">
        <f>449.72</f>
        <v>449.72</v>
      </c>
      <c r="F70" s="7">
        <f>457.2</f>
        <v>457.2</v>
      </c>
      <c r="G70" s="7">
        <f>799.54</f>
        <v>799.54</v>
      </c>
      <c r="H70" s="7">
        <f>589.28</f>
        <v>589.28</v>
      </c>
      <c r="I70" s="7">
        <f>588.97</f>
        <v>588.97</v>
      </c>
      <c r="J70" s="7">
        <f>637.42</f>
        <v>637.41999999999996</v>
      </c>
      <c r="K70" s="7">
        <f>800.63</f>
        <v>800.63</v>
      </c>
      <c r="L70" s="7">
        <f>853.72</f>
        <v>853.72</v>
      </c>
      <c r="M70" s="7">
        <f>785.92</f>
        <v>785.92</v>
      </c>
      <c r="N70" s="7">
        <f t="shared" si="5"/>
        <v>7040.27</v>
      </c>
    </row>
    <row r="71" spans="1:14" x14ac:dyDescent="0.3">
      <c r="A71" s="5" t="s">
        <v>82</v>
      </c>
      <c r="B71" s="8">
        <f t="shared" ref="B71:M71" si="12">((((((((((B60)+(B61))+(B62))+(B63))+(B64))+(B65))+(B66))+(B67))+(B68))+(B69))+(B70)</f>
        <v>131360.99</v>
      </c>
      <c r="C71" s="8">
        <f t="shared" si="12"/>
        <v>193337.21000000002</v>
      </c>
      <c r="D71" s="8">
        <f t="shared" si="12"/>
        <v>236002.04</v>
      </c>
      <c r="E71" s="8">
        <f t="shared" si="12"/>
        <v>152030.50999999998</v>
      </c>
      <c r="F71" s="8">
        <f t="shared" si="12"/>
        <v>227964.54</v>
      </c>
      <c r="G71" s="8">
        <f t="shared" si="12"/>
        <v>301531.64</v>
      </c>
      <c r="H71" s="8">
        <f t="shared" si="12"/>
        <v>346923.72000000003</v>
      </c>
      <c r="I71" s="8">
        <f t="shared" si="12"/>
        <v>314207.77999999991</v>
      </c>
      <c r="J71" s="8">
        <f t="shared" si="12"/>
        <v>520629.44999999995</v>
      </c>
      <c r="K71" s="8">
        <f t="shared" si="12"/>
        <v>609892.66999999993</v>
      </c>
      <c r="L71" s="8">
        <f t="shared" si="12"/>
        <v>313695.14999999991</v>
      </c>
      <c r="M71" s="8">
        <f t="shared" si="12"/>
        <v>182714.64</v>
      </c>
      <c r="N71" s="8">
        <f t="shared" si="5"/>
        <v>3530290.34</v>
      </c>
    </row>
    <row r="72" spans="1:14" x14ac:dyDescent="0.3">
      <c r="A72" s="5" t="s">
        <v>83</v>
      </c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7">
        <f t="shared" si="5"/>
        <v>0</v>
      </c>
    </row>
    <row r="73" spans="1:14" x14ac:dyDescent="0.3">
      <c r="A73" s="5" t="s">
        <v>84</v>
      </c>
      <c r="B73" s="7">
        <f>4925.77</f>
        <v>4925.7700000000004</v>
      </c>
      <c r="C73" s="7">
        <f>3945.81</f>
        <v>3945.81</v>
      </c>
      <c r="D73" s="7">
        <f>1904.41</f>
        <v>1904.41</v>
      </c>
      <c r="E73" s="7">
        <f>4520.15</f>
        <v>4520.1499999999996</v>
      </c>
      <c r="F73" s="7">
        <f>3724.5</f>
        <v>3724.5</v>
      </c>
      <c r="G73" s="7">
        <f>4779.17</f>
        <v>4779.17</v>
      </c>
      <c r="H73" s="7">
        <f>6460.95</f>
        <v>6460.95</v>
      </c>
      <c r="I73" s="7">
        <f>8222.71</f>
        <v>8222.7099999999991</v>
      </c>
      <c r="J73" s="7">
        <f>10272.67</f>
        <v>10272.67</v>
      </c>
      <c r="K73" s="7">
        <f>10879.46</f>
        <v>10879.46</v>
      </c>
      <c r="L73" s="7">
        <f>9594.83</f>
        <v>9594.83</v>
      </c>
      <c r="M73" s="7">
        <f>11732.63</f>
        <v>11732.63</v>
      </c>
      <c r="N73" s="7">
        <f t="shared" si="5"/>
        <v>80963.06</v>
      </c>
    </row>
    <row r="74" spans="1:14" x14ac:dyDescent="0.3">
      <c r="A74" s="5" t="s">
        <v>85</v>
      </c>
      <c r="B74" s="7">
        <f>151.2</f>
        <v>151.19999999999999</v>
      </c>
      <c r="C74" s="7">
        <f>151.2</f>
        <v>151.19999999999999</v>
      </c>
      <c r="D74" s="7">
        <f>156</f>
        <v>156</v>
      </c>
      <c r="E74" s="7">
        <f>180</f>
        <v>180</v>
      </c>
      <c r="F74" s="7">
        <f>267</f>
        <v>267</v>
      </c>
      <c r="G74" s="7">
        <f>660.35</f>
        <v>660.35</v>
      </c>
      <c r="H74" s="7">
        <f>988.56</f>
        <v>988.56</v>
      </c>
      <c r="I74" s="7">
        <f>1762.68</f>
        <v>1762.68</v>
      </c>
      <c r="J74" s="7">
        <f>2074.13</f>
        <v>2074.13</v>
      </c>
      <c r="K74" s="7">
        <f>2691.62</f>
        <v>2691.62</v>
      </c>
      <c r="L74" s="7">
        <f>2322.22</f>
        <v>2322.2199999999998</v>
      </c>
      <c r="M74" s="7">
        <f>2361.85</f>
        <v>2361.85</v>
      </c>
      <c r="N74" s="7">
        <f t="shared" si="5"/>
        <v>13766.81</v>
      </c>
    </row>
    <row r="75" spans="1:14" x14ac:dyDescent="0.3">
      <c r="A75" s="5" t="s">
        <v>86</v>
      </c>
      <c r="B75" s="7">
        <f>4499.6</f>
        <v>4499.6000000000004</v>
      </c>
      <c r="C75" s="7">
        <f>4528.68</f>
        <v>4528.68</v>
      </c>
      <c r="D75" s="7">
        <f>5566.52</f>
        <v>5566.52</v>
      </c>
      <c r="E75" s="7">
        <f>6142.82</f>
        <v>6142.82</v>
      </c>
      <c r="F75" s="7">
        <f>7397.24</f>
        <v>7397.24</v>
      </c>
      <c r="G75" s="7">
        <f>30096.36</f>
        <v>30096.36</v>
      </c>
      <c r="H75" s="7">
        <f>25761.31</f>
        <v>25761.31</v>
      </c>
      <c r="I75" s="7">
        <f>34604.29</f>
        <v>34604.29</v>
      </c>
      <c r="J75" s="7">
        <f>14722.83</f>
        <v>14722.83</v>
      </c>
      <c r="K75" s="7">
        <f>16363.83</f>
        <v>16363.83</v>
      </c>
      <c r="L75" s="7">
        <f>21120.2</f>
        <v>21120.2</v>
      </c>
      <c r="M75" s="7">
        <f>15176.34</f>
        <v>15176.34</v>
      </c>
      <c r="N75" s="7">
        <f t="shared" si="5"/>
        <v>185980.02</v>
      </c>
    </row>
    <row r="76" spans="1:14" x14ac:dyDescent="0.3">
      <c r="A76" s="5" t="s">
        <v>87</v>
      </c>
      <c r="B76" s="6"/>
      <c r="C76" s="6"/>
      <c r="D76" s="6"/>
      <c r="E76" s="6"/>
      <c r="F76" s="6"/>
      <c r="G76" s="6"/>
      <c r="H76" s="6"/>
      <c r="I76" s="6"/>
      <c r="J76" s="7">
        <f>0</f>
        <v>0</v>
      </c>
      <c r="K76" s="7">
        <f>0</f>
        <v>0</v>
      </c>
      <c r="L76" s="7">
        <f>0</f>
        <v>0</v>
      </c>
      <c r="M76" s="7">
        <f>0</f>
        <v>0</v>
      </c>
      <c r="N76" s="7">
        <f t="shared" si="5"/>
        <v>0</v>
      </c>
    </row>
    <row r="77" spans="1:14" x14ac:dyDescent="0.3">
      <c r="A77" s="5" t="s">
        <v>88</v>
      </c>
      <c r="B77" s="7">
        <f>15692.32</f>
        <v>15692.32</v>
      </c>
      <c r="C77" s="7">
        <f>15692.32</f>
        <v>15692.32</v>
      </c>
      <c r="D77" s="7">
        <f>15772.32</f>
        <v>15772.32</v>
      </c>
      <c r="E77" s="7">
        <f>15692.32</f>
        <v>15692.32</v>
      </c>
      <c r="F77" s="7">
        <f>15670.68</f>
        <v>15670.68</v>
      </c>
      <c r="G77" s="7">
        <f>25665.09</f>
        <v>25665.09</v>
      </c>
      <c r="H77" s="6"/>
      <c r="I77" s="6"/>
      <c r="J77" s="6"/>
      <c r="K77" s="6"/>
      <c r="L77" s="6"/>
      <c r="M77" s="6"/>
      <c r="N77" s="7">
        <f t="shared" si="5"/>
        <v>104185.04999999999</v>
      </c>
    </row>
    <row r="78" spans="1:14" x14ac:dyDescent="0.3">
      <c r="A78" s="5" t="s">
        <v>89</v>
      </c>
      <c r="B78" s="7">
        <f>14028.89</f>
        <v>14028.89</v>
      </c>
      <c r="C78" s="7">
        <f>16081.79</f>
        <v>16081.79</v>
      </c>
      <c r="D78" s="7">
        <f>16237.93</f>
        <v>16237.93</v>
      </c>
      <c r="E78" s="7">
        <f>14055.59</f>
        <v>14055.59</v>
      </c>
      <c r="F78" s="7">
        <f>19039.23</f>
        <v>19039.23</v>
      </c>
      <c r="G78" s="7">
        <f>10966.24</f>
        <v>10966.24</v>
      </c>
      <c r="H78" s="7">
        <f>11087.59</f>
        <v>11087.59</v>
      </c>
      <c r="I78" s="7">
        <f>22532.96</f>
        <v>22532.959999999999</v>
      </c>
      <c r="J78" s="7">
        <f>36613.03</f>
        <v>36613.03</v>
      </c>
      <c r="K78" s="7">
        <f>40156.64</f>
        <v>40156.639999999999</v>
      </c>
      <c r="L78" s="7">
        <f>59077.86</f>
        <v>59077.86</v>
      </c>
      <c r="M78" s="7">
        <f>44243.76</f>
        <v>44243.76</v>
      </c>
      <c r="N78" s="7">
        <f t="shared" si="5"/>
        <v>304121.51</v>
      </c>
    </row>
    <row r="79" spans="1:14" x14ac:dyDescent="0.3">
      <c r="A79" s="5" t="s">
        <v>90</v>
      </c>
      <c r="B79" s="6"/>
      <c r="C79" s="6"/>
      <c r="D79" s="6"/>
      <c r="E79" s="6"/>
      <c r="F79" s="6"/>
      <c r="G79" s="6"/>
      <c r="H79" s="7">
        <f>18312.41</f>
        <v>18312.41</v>
      </c>
      <c r="I79" s="7">
        <f>15511.25</f>
        <v>15511.25</v>
      </c>
      <c r="J79" s="7">
        <f>22615.4</f>
        <v>22615.4</v>
      </c>
      <c r="K79" s="7">
        <f>22615.4</f>
        <v>22615.4</v>
      </c>
      <c r="L79" s="7">
        <f>33923.1</f>
        <v>33923.1</v>
      </c>
      <c r="M79" s="7">
        <f>22615.4</f>
        <v>22615.4</v>
      </c>
      <c r="N79" s="7">
        <f t="shared" si="5"/>
        <v>135592.95999999999</v>
      </c>
    </row>
    <row r="80" spans="1:14" x14ac:dyDescent="0.3">
      <c r="A80" s="5" t="s">
        <v>91</v>
      </c>
      <c r="B80" s="8">
        <f t="shared" ref="B80:M80" si="13">((B77)+(B78))+(B79)</f>
        <v>29721.21</v>
      </c>
      <c r="C80" s="8">
        <f t="shared" si="13"/>
        <v>31774.11</v>
      </c>
      <c r="D80" s="8">
        <f t="shared" si="13"/>
        <v>32010.25</v>
      </c>
      <c r="E80" s="8">
        <f t="shared" si="13"/>
        <v>29747.91</v>
      </c>
      <c r="F80" s="8">
        <f t="shared" si="13"/>
        <v>34709.910000000003</v>
      </c>
      <c r="G80" s="8">
        <f t="shared" si="13"/>
        <v>36631.33</v>
      </c>
      <c r="H80" s="8">
        <f t="shared" si="13"/>
        <v>29400</v>
      </c>
      <c r="I80" s="8">
        <f t="shared" si="13"/>
        <v>38044.21</v>
      </c>
      <c r="J80" s="8">
        <f t="shared" si="13"/>
        <v>59228.43</v>
      </c>
      <c r="K80" s="8">
        <f t="shared" si="13"/>
        <v>62772.04</v>
      </c>
      <c r="L80" s="8">
        <f t="shared" si="13"/>
        <v>93000.959999999992</v>
      </c>
      <c r="M80" s="8">
        <f t="shared" si="13"/>
        <v>66859.16</v>
      </c>
      <c r="N80" s="8">
        <f t="shared" si="5"/>
        <v>543899.52</v>
      </c>
    </row>
    <row r="81" spans="1:14" x14ac:dyDescent="0.3">
      <c r="A81" s="5" t="s">
        <v>92</v>
      </c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7">
        <f t="shared" si="5"/>
        <v>0</v>
      </c>
    </row>
    <row r="82" spans="1:14" x14ac:dyDescent="0.3">
      <c r="A82" s="5" t="s">
        <v>93</v>
      </c>
      <c r="B82" s="7">
        <f>1415</f>
        <v>1415</v>
      </c>
      <c r="C82" s="7">
        <f>1440</f>
        <v>1440</v>
      </c>
      <c r="D82" s="7">
        <f>2616.75</f>
        <v>2616.75</v>
      </c>
      <c r="E82" s="7">
        <f>3911.42</f>
        <v>3911.42</v>
      </c>
      <c r="F82" s="7">
        <f>3276.91</f>
        <v>3276.91</v>
      </c>
      <c r="G82" s="7">
        <f>4369.09</f>
        <v>4369.09</v>
      </c>
      <c r="H82" s="7">
        <f>8183.05</f>
        <v>8183.05</v>
      </c>
      <c r="I82" s="7">
        <f>8352.58</f>
        <v>8352.58</v>
      </c>
      <c r="J82" s="7">
        <f>18178</f>
        <v>18178</v>
      </c>
      <c r="K82" s="7">
        <f>20453.6</f>
        <v>20453.599999999999</v>
      </c>
      <c r="L82" s="7">
        <f>22682.54</f>
        <v>22682.54</v>
      </c>
      <c r="M82" s="7">
        <f>25562.41</f>
        <v>25562.41</v>
      </c>
      <c r="N82" s="7">
        <f t="shared" si="5"/>
        <v>120441.35</v>
      </c>
    </row>
    <row r="83" spans="1:14" x14ac:dyDescent="0.3">
      <c r="A83" s="5" t="s">
        <v>94</v>
      </c>
      <c r="B83" s="8">
        <f t="shared" ref="B83:M83" si="14">(B81)+(B82)</f>
        <v>1415</v>
      </c>
      <c r="C83" s="8">
        <f t="shared" si="14"/>
        <v>1440</v>
      </c>
      <c r="D83" s="8">
        <f t="shared" si="14"/>
        <v>2616.75</v>
      </c>
      <c r="E83" s="8">
        <f t="shared" si="14"/>
        <v>3911.42</v>
      </c>
      <c r="F83" s="8">
        <f t="shared" si="14"/>
        <v>3276.91</v>
      </c>
      <c r="G83" s="8">
        <f t="shared" si="14"/>
        <v>4369.09</v>
      </c>
      <c r="H83" s="8">
        <f t="shared" si="14"/>
        <v>8183.05</v>
      </c>
      <c r="I83" s="8">
        <f t="shared" si="14"/>
        <v>8352.58</v>
      </c>
      <c r="J83" s="8">
        <f t="shared" si="14"/>
        <v>18178</v>
      </c>
      <c r="K83" s="8">
        <f t="shared" si="14"/>
        <v>20453.599999999999</v>
      </c>
      <c r="L83" s="8">
        <f t="shared" si="14"/>
        <v>22682.54</v>
      </c>
      <c r="M83" s="8">
        <f t="shared" si="14"/>
        <v>25562.41</v>
      </c>
      <c r="N83" s="8">
        <f t="shared" si="5"/>
        <v>120441.35</v>
      </c>
    </row>
    <row r="84" spans="1:14" x14ac:dyDescent="0.3">
      <c r="A84" s="5" t="s">
        <v>95</v>
      </c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7">
        <f t="shared" si="5"/>
        <v>0</v>
      </c>
    </row>
    <row r="85" spans="1:14" x14ac:dyDescent="0.3">
      <c r="A85" s="5" t="s">
        <v>89</v>
      </c>
      <c r="B85" s="7">
        <f>2205.62</f>
        <v>2205.62</v>
      </c>
      <c r="C85" s="7">
        <f>1648.88</f>
        <v>1648.88</v>
      </c>
      <c r="D85" s="7">
        <f>3080.15</f>
        <v>3080.15</v>
      </c>
      <c r="E85" s="7">
        <f>4227.94</f>
        <v>4227.9399999999996</v>
      </c>
      <c r="F85" s="7">
        <f>5363.08</f>
        <v>5363.08</v>
      </c>
      <c r="G85" s="7">
        <f>8578.55</f>
        <v>8578.5499999999993</v>
      </c>
      <c r="H85" s="7">
        <f>11245.31</f>
        <v>11245.31</v>
      </c>
      <c r="I85" s="7">
        <f>14491.02</f>
        <v>14491.02</v>
      </c>
      <c r="J85" s="7">
        <f>8670.6</f>
        <v>8670.6</v>
      </c>
      <c r="K85" s="7">
        <f>13249.16</f>
        <v>13249.16</v>
      </c>
      <c r="L85" s="7">
        <f>13144.2</f>
        <v>13144.2</v>
      </c>
      <c r="M85" s="7">
        <f>14386.12</f>
        <v>14386.12</v>
      </c>
      <c r="N85" s="7">
        <f t="shared" si="5"/>
        <v>100290.62999999999</v>
      </c>
    </row>
    <row r="86" spans="1:14" x14ac:dyDescent="0.3">
      <c r="A86" s="5" t="s">
        <v>96</v>
      </c>
      <c r="B86" s="8">
        <f t="shared" ref="B86:M86" si="15">(B84)+(B85)</f>
        <v>2205.62</v>
      </c>
      <c r="C86" s="8">
        <f t="shared" si="15"/>
        <v>1648.88</v>
      </c>
      <c r="D86" s="8">
        <f t="shared" si="15"/>
        <v>3080.15</v>
      </c>
      <c r="E86" s="8">
        <f t="shared" si="15"/>
        <v>4227.9399999999996</v>
      </c>
      <c r="F86" s="8">
        <f t="shared" si="15"/>
        <v>5363.08</v>
      </c>
      <c r="G86" s="8">
        <f t="shared" si="15"/>
        <v>8578.5499999999993</v>
      </c>
      <c r="H86" s="8">
        <f t="shared" si="15"/>
        <v>11245.31</v>
      </c>
      <c r="I86" s="8">
        <f t="shared" si="15"/>
        <v>14491.02</v>
      </c>
      <c r="J86" s="8">
        <f t="shared" si="15"/>
        <v>8670.6</v>
      </c>
      <c r="K86" s="8">
        <f t="shared" si="15"/>
        <v>13249.16</v>
      </c>
      <c r="L86" s="8">
        <f t="shared" si="15"/>
        <v>13144.2</v>
      </c>
      <c r="M86" s="8">
        <f t="shared" si="15"/>
        <v>14386.12</v>
      </c>
      <c r="N86" s="8">
        <f t="shared" si="5"/>
        <v>100290.62999999999</v>
      </c>
    </row>
    <row r="87" spans="1:14" x14ac:dyDescent="0.3">
      <c r="A87" s="5" t="s">
        <v>97</v>
      </c>
      <c r="B87" s="7">
        <f>26540.63</f>
        <v>26540.63</v>
      </c>
      <c r="C87" s="7">
        <f>29909.72</f>
        <v>29909.72</v>
      </c>
      <c r="D87" s="7">
        <f>40553.92</f>
        <v>40553.919999999998</v>
      </c>
      <c r="E87" s="7">
        <f>44078.28</f>
        <v>44078.28</v>
      </c>
      <c r="F87" s="7">
        <f>54204.84</f>
        <v>54204.84</v>
      </c>
      <c r="G87" s="7">
        <f>27024.56</f>
        <v>27024.560000000001</v>
      </c>
      <c r="H87" s="6"/>
      <c r="I87" s="7">
        <f>75.4</f>
        <v>75.400000000000006</v>
      </c>
      <c r="J87" s="6"/>
      <c r="K87" s="6"/>
      <c r="L87" s="6"/>
      <c r="M87" s="6"/>
      <c r="N87" s="7">
        <f t="shared" si="5"/>
        <v>222387.34999999998</v>
      </c>
    </row>
    <row r="88" spans="1:14" x14ac:dyDescent="0.3">
      <c r="A88" s="5" t="s">
        <v>89</v>
      </c>
      <c r="B88" s="7">
        <f>80</f>
        <v>80</v>
      </c>
      <c r="C88" s="7">
        <f>2263</f>
        <v>2263</v>
      </c>
      <c r="D88" s="7">
        <f>5243.8</f>
        <v>5243.8</v>
      </c>
      <c r="E88" s="7">
        <f>43557.21</f>
        <v>43557.21</v>
      </c>
      <c r="F88" s="7">
        <f>54882.25</f>
        <v>54882.25</v>
      </c>
      <c r="G88" s="7">
        <f>33147.57</f>
        <v>33147.57</v>
      </c>
      <c r="H88" s="7">
        <f>14957.92</f>
        <v>14957.92</v>
      </c>
      <c r="I88" s="7">
        <f>20212.44</f>
        <v>20212.439999999999</v>
      </c>
      <c r="J88" s="7">
        <f>9526.8</f>
        <v>9526.7999999999993</v>
      </c>
      <c r="K88" s="7">
        <f>717.13</f>
        <v>717.13</v>
      </c>
      <c r="L88" s="7">
        <f>31220.97</f>
        <v>31220.97</v>
      </c>
      <c r="M88" s="7">
        <f>126924.46</f>
        <v>126924.46</v>
      </c>
      <c r="N88" s="7">
        <f t="shared" si="5"/>
        <v>342733.55000000005</v>
      </c>
    </row>
    <row r="89" spans="1:14" x14ac:dyDescent="0.3">
      <c r="A89" s="5" t="s">
        <v>90</v>
      </c>
      <c r="B89" s="6"/>
      <c r="C89" s="6"/>
      <c r="D89" s="6"/>
      <c r="E89" s="6"/>
      <c r="F89" s="6"/>
      <c r="G89" s="7">
        <f>71897.4</f>
        <v>71897.399999999994</v>
      </c>
      <c r="H89" s="7">
        <f>70475.15</f>
        <v>70475.149999999994</v>
      </c>
      <c r="I89" s="7">
        <f>100707.07</f>
        <v>100707.07</v>
      </c>
      <c r="J89" s="7">
        <f>134582.49</f>
        <v>134582.49</v>
      </c>
      <c r="K89" s="7">
        <f>152873.01</f>
        <v>152873.01</v>
      </c>
      <c r="L89" s="7">
        <f>201878.38</f>
        <v>201878.38</v>
      </c>
      <c r="M89" s="7">
        <f>147803.18</f>
        <v>147803.18</v>
      </c>
      <c r="N89" s="7">
        <f t="shared" si="5"/>
        <v>880216.67999999993</v>
      </c>
    </row>
    <row r="90" spans="1:14" x14ac:dyDescent="0.3">
      <c r="A90" s="5" t="s">
        <v>98</v>
      </c>
      <c r="B90" s="8">
        <f t="shared" ref="B90:M90" si="16">((B87)+(B88))+(B89)</f>
        <v>26620.63</v>
      </c>
      <c r="C90" s="8">
        <f t="shared" si="16"/>
        <v>32172.720000000001</v>
      </c>
      <c r="D90" s="8">
        <f t="shared" si="16"/>
        <v>45797.72</v>
      </c>
      <c r="E90" s="8">
        <f t="shared" si="16"/>
        <v>87635.489999999991</v>
      </c>
      <c r="F90" s="8">
        <f t="shared" si="16"/>
        <v>109087.09</v>
      </c>
      <c r="G90" s="8">
        <f t="shared" si="16"/>
        <v>132069.53</v>
      </c>
      <c r="H90" s="8">
        <f t="shared" si="16"/>
        <v>85433.069999999992</v>
      </c>
      <c r="I90" s="8">
        <f t="shared" si="16"/>
        <v>120994.91</v>
      </c>
      <c r="J90" s="8">
        <f t="shared" si="16"/>
        <v>144109.28999999998</v>
      </c>
      <c r="K90" s="8">
        <f t="shared" si="16"/>
        <v>153590.14000000001</v>
      </c>
      <c r="L90" s="8">
        <f t="shared" si="16"/>
        <v>233099.35</v>
      </c>
      <c r="M90" s="8">
        <f t="shared" si="16"/>
        <v>274727.64</v>
      </c>
      <c r="N90" s="8">
        <f t="shared" si="5"/>
        <v>1445337.58</v>
      </c>
    </row>
    <row r="91" spans="1:14" x14ac:dyDescent="0.3">
      <c r="A91" s="5" t="s">
        <v>99</v>
      </c>
      <c r="B91" s="8">
        <f t="shared" ref="B91:M91" si="17">((((B76)+(B80))+(B83))+(B86))+(B90)</f>
        <v>59962.460000000006</v>
      </c>
      <c r="C91" s="8">
        <f t="shared" si="17"/>
        <v>67035.709999999992</v>
      </c>
      <c r="D91" s="8">
        <f t="shared" si="17"/>
        <v>83504.87</v>
      </c>
      <c r="E91" s="8">
        <f t="shared" si="17"/>
        <v>125522.76</v>
      </c>
      <c r="F91" s="8">
        <f t="shared" si="17"/>
        <v>152436.99</v>
      </c>
      <c r="G91" s="8">
        <f t="shared" si="17"/>
        <v>181648.5</v>
      </c>
      <c r="H91" s="8">
        <f t="shared" si="17"/>
        <v>134261.43</v>
      </c>
      <c r="I91" s="8">
        <f t="shared" si="17"/>
        <v>181882.72</v>
      </c>
      <c r="J91" s="8">
        <f t="shared" si="17"/>
        <v>230186.31999999998</v>
      </c>
      <c r="K91" s="8">
        <f t="shared" si="17"/>
        <v>250064.94</v>
      </c>
      <c r="L91" s="8">
        <f t="shared" si="17"/>
        <v>361927.05</v>
      </c>
      <c r="M91" s="8">
        <f t="shared" si="17"/>
        <v>381535.33</v>
      </c>
      <c r="N91" s="8">
        <f t="shared" ref="N91:N96" si="18">(((((((((((B91)+(C91))+(D91))+(E91))+(F91))+(G91))+(H91))+(I91))+(J91))+(K91))+(L91))+(M91)</f>
        <v>2209969.08</v>
      </c>
    </row>
    <row r="92" spans="1:14" x14ac:dyDescent="0.3">
      <c r="A92" s="5" t="s">
        <v>100</v>
      </c>
      <c r="B92" s="8">
        <f t="shared" ref="B92:M92" si="19">((((B72)+(B73))+(B74))+(B75))+(B91)</f>
        <v>69539.03</v>
      </c>
      <c r="C92" s="8">
        <f t="shared" si="19"/>
        <v>75661.399999999994</v>
      </c>
      <c r="D92" s="8">
        <f t="shared" si="19"/>
        <v>91131.799999999988</v>
      </c>
      <c r="E92" s="8">
        <f t="shared" si="19"/>
        <v>136365.72999999998</v>
      </c>
      <c r="F92" s="8">
        <f t="shared" si="19"/>
        <v>163825.72999999998</v>
      </c>
      <c r="G92" s="8">
        <f t="shared" si="19"/>
        <v>217184.38</v>
      </c>
      <c r="H92" s="8">
        <f t="shared" si="19"/>
        <v>167472.25</v>
      </c>
      <c r="I92" s="8">
        <f t="shared" si="19"/>
        <v>226472.4</v>
      </c>
      <c r="J92" s="8">
        <f t="shared" si="19"/>
        <v>257255.94999999998</v>
      </c>
      <c r="K92" s="8">
        <f t="shared" si="19"/>
        <v>279999.84999999998</v>
      </c>
      <c r="L92" s="8">
        <f t="shared" si="19"/>
        <v>394964.3</v>
      </c>
      <c r="M92" s="8">
        <f t="shared" si="19"/>
        <v>410806.15</v>
      </c>
      <c r="N92" s="8">
        <f t="shared" si="18"/>
        <v>2490678.9700000002</v>
      </c>
    </row>
    <row r="93" spans="1:14" x14ac:dyDescent="0.3">
      <c r="A93" s="5" t="s">
        <v>101</v>
      </c>
      <c r="B93" s="6"/>
      <c r="C93" s="6"/>
      <c r="D93" s="6"/>
      <c r="E93" s="6"/>
      <c r="F93" s="6"/>
      <c r="G93" s="6"/>
      <c r="H93" s="6"/>
      <c r="I93" s="6"/>
      <c r="J93" s="6"/>
      <c r="K93" s="7">
        <f>379.4</f>
        <v>379.4</v>
      </c>
      <c r="L93" s="6"/>
      <c r="M93" s="6"/>
      <c r="N93" s="7">
        <f t="shared" si="18"/>
        <v>379.4</v>
      </c>
    </row>
    <row r="94" spans="1:14" x14ac:dyDescent="0.3">
      <c r="A94" s="5" t="s">
        <v>102</v>
      </c>
      <c r="B94" s="6"/>
      <c r="C94" s="6"/>
      <c r="D94" s="6"/>
      <c r="E94" s="6"/>
      <c r="F94" s="6"/>
      <c r="G94" s="6"/>
      <c r="H94" s="7">
        <f>1026.58</f>
        <v>1026.58</v>
      </c>
      <c r="I94" s="6"/>
      <c r="J94" s="7">
        <f>28.98</f>
        <v>28.98</v>
      </c>
      <c r="K94" s="6"/>
      <c r="L94" s="6"/>
      <c r="M94" s="6"/>
      <c r="N94" s="7">
        <f t="shared" si="18"/>
        <v>1055.56</v>
      </c>
    </row>
    <row r="95" spans="1:14" x14ac:dyDescent="0.3">
      <c r="A95" s="5" t="s">
        <v>103</v>
      </c>
      <c r="B95" s="8">
        <f t="shared" ref="B95:M95" si="20">((((((B27)+(B58))+(B59))+(B71))+(B92))+(B93))+(B94)</f>
        <v>213127.97</v>
      </c>
      <c r="C95" s="8">
        <f t="shared" si="20"/>
        <v>286535.08</v>
      </c>
      <c r="D95" s="8">
        <f t="shared" si="20"/>
        <v>364486.14999999997</v>
      </c>
      <c r="E95" s="8">
        <f t="shared" si="20"/>
        <v>319508.14999999997</v>
      </c>
      <c r="F95" s="8">
        <f t="shared" si="20"/>
        <v>429054.85</v>
      </c>
      <c r="G95" s="8">
        <f t="shared" si="20"/>
        <v>551448.37</v>
      </c>
      <c r="H95" s="8">
        <f t="shared" si="20"/>
        <v>570698.37</v>
      </c>
      <c r="I95" s="8">
        <f t="shared" si="20"/>
        <v>617823.84</v>
      </c>
      <c r="J95" s="8">
        <f t="shared" si="20"/>
        <v>833253.44</v>
      </c>
      <c r="K95" s="8">
        <f t="shared" si="20"/>
        <v>944798.78999999992</v>
      </c>
      <c r="L95" s="8">
        <f t="shared" si="20"/>
        <v>771136.81999999983</v>
      </c>
      <c r="M95" s="8">
        <f t="shared" si="20"/>
        <v>642868.64</v>
      </c>
      <c r="N95" s="8">
        <f t="shared" si="18"/>
        <v>6544740.4699999997</v>
      </c>
    </row>
    <row r="96" spans="1:14" x14ac:dyDescent="0.3">
      <c r="A96" s="5" t="s">
        <v>104</v>
      </c>
      <c r="B96" s="8">
        <f t="shared" ref="B96:M96" si="21">(B25)-(B95)</f>
        <v>-24084.859999999957</v>
      </c>
      <c r="C96" s="8">
        <f t="shared" si="21"/>
        <v>-120336.90000000002</v>
      </c>
      <c r="D96" s="8">
        <f t="shared" si="21"/>
        <v>-240533.04999999987</v>
      </c>
      <c r="E96" s="8">
        <f t="shared" si="21"/>
        <v>212637.57</v>
      </c>
      <c r="F96" s="8">
        <f t="shared" si="21"/>
        <v>111686.54999999993</v>
      </c>
      <c r="G96" s="8">
        <f t="shared" si="21"/>
        <v>-116431.94999999995</v>
      </c>
      <c r="H96" s="8">
        <f t="shared" si="21"/>
        <v>-13057.410000000149</v>
      </c>
      <c r="I96" s="8">
        <f t="shared" si="21"/>
        <v>148033.96000000008</v>
      </c>
      <c r="J96" s="8">
        <f t="shared" si="21"/>
        <v>-251763.92000000004</v>
      </c>
      <c r="K96" s="8">
        <f t="shared" si="21"/>
        <v>-231150.30999999994</v>
      </c>
      <c r="L96" s="8">
        <f t="shared" si="21"/>
        <v>-113393.52000000002</v>
      </c>
      <c r="M96" s="8">
        <f t="shared" si="21"/>
        <v>-195752.88</v>
      </c>
      <c r="N96" s="8">
        <f t="shared" si="18"/>
        <v>-834146.71999999986</v>
      </c>
    </row>
    <row r="97" spans="1:14" x14ac:dyDescent="0.3">
      <c r="A97" s="5" t="s">
        <v>105</v>
      </c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</row>
    <row r="98" spans="1:14" x14ac:dyDescent="0.3">
      <c r="A98" s="5" t="s">
        <v>106</v>
      </c>
      <c r="B98" s="7">
        <f>7.43</f>
        <v>7.43</v>
      </c>
      <c r="C98" s="7">
        <f>12.45</f>
        <v>12.45</v>
      </c>
      <c r="D98" s="7">
        <f>8.63</f>
        <v>8.6300000000000008</v>
      </c>
      <c r="E98" s="7">
        <f>6.08</f>
        <v>6.08</v>
      </c>
      <c r="F98" s="7">
        <f>8.18</f>
        <v>8.18</v>
      </c>
      <c r="G98" s="7">
        <f>11.1</f>
        <v>11.1</v>
      </c>
      <c r="H98" s="7">
        <f>21.12</f>
        <v>21.12</v>
      </c>
      <c r="I98" s="7">
        <f>24.38</f>
        <v>24.38</v>
      </c>
      <c r="J98" s="7">
        <f>22.11</f>
        <v>22.11</v>
      </c>
      <c r="K98" s="7">
        <f>17.93</f>
        <v>17.93</v>
      </c>
      <c r="L98" s="7">
        <f>7.5</f>
        <v>7.5</v>
      </c>
      <c r="M98" s="7">
        <f>3.49</f>
        <v>3.49</v>
      </c>
      <c r="N98" s="7">
        <f>(((((((((((B98)+(C98))+(D98))+(E98))+(F98))+(G98))+(H98))+(I98))+(J98))+(K98))+(L98))+(M98)</f>
        <v>150.4</v>
      </c>
    </row>
    <row r="99" spans="1:14" x14ac:dyDescent="0.3">
      <c r="A99" s="5" t="s">
        <v>107</v>
      </c>
      <c r="B99" s="8">
        <f t="shared" ref="B99:M99" si="22">B98</f>
        <v>7.43</v>
      </c>
      <c r="C99" s="8">
        <f t="shared" si="22"/>
        <v>12.45</v>
      </c>
      <c r="D99" s="8">
        <f t="shared" si="22"/>
        <v>8.6300000000000008</v>
      </c>
      <c r="E99" s="8">
        <f t="shared" si="22"/>
        <v>6.08</v>
      </c>
      <c r="F99" s="8">
        <f t="shared" si="22"/>
        <v>8.18</v>
      </c>
      <c r="G99" s="8">
        <f t="shared" si="22"/>
        <v>11.1</v>
      </c>
      <c r="H99" s="8">
        <f t="shared" si="22"/>
        <v>21.12</v>
      </c>
      <c r="I99" s="8">
        <f t="shared" si="22"/>
        <v>24.38</v>
      </c>
      <c r="J99" s="8">
        <f t="shared" si="22"/>
        <v>22.11</v>
      </c>
      <c r="K99" s="8">
        <f t="shared" si="22"/>
        <v>17.93</v>
      </c>
      <c r="L99" s="8">
        <f t="shared" si="22"/>
        <v>7.5</v>
      </c>
      <c r="M99" s="8">
        <f t="shared" si="22"/>
        <v>3.49</v>
      </c>
      <c r="N99" s="8">
        <f>(((((((((((B99)+(C99))+(D99))+(E99))+(F99))+(G99))+(H99))+(I99))+(J99))+(K99))+(L99))+(M99)</f>
        <v>150.4</v>
      </c>
    </row>
    <row r="100" spans="1:14" x14ac:dyDescent="0.3">
      <c r="A100" s="5" t="s">
        <v>108</v>
      </c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</row>
    <row r="101" spans="1:14" x14ac:dyDescent="0.3">
      <c r="A101" s="5" t="s">
        <v>109</v>
      </c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7">
        <f t="shared" ref="N101:N107" si="23">(((((((((((B101)+(C101))+(D101))+(E101))+(F101))+(G101))+(H101))+(I101))+(J101))+(K101))+(L101))+(M101)</f>
        <v>0</v>
      </c>
    </row>
    <row r="102" spans="1:14" x14ac:dyDescent="0.3">
      <c r="A102" s="5" t="s">
        <v>110</v>
      </c>
      <c r="B102" s="7">
        <f>1789.72</f>
        <v>1789.72</v>
      </c>
      <c r="C102" s="7">
        <f>1735.02</f>
        <v>1735.02</v>
      </c>
      <c r="D102" s="7">
        <f>1679.64</f>
        <v>1679.64</v>
      </c>
      <c r="E102" s="7">
        <f>1623.59</f>
        <v>1623.59</v>
      </c>
      <c r="F102" s="7">
        <f>1566.85</f>
        <v>1566.85</v>
      </c>
      <c r="G102" s="7">
        <f>1509.41</f>
        <v>1509.41</v>
      </c>
      <c r="H102" s="7">
        <f>1451.26</f>
        <v>1451.26</v>
      </c>
      <c r="I102" s="7">
        <f>1392.41</f>
        <v>1392.41</v>
      </c>
      <c r="J102" s="7">
        <f>1332.83</f>
        <v>1332.83</v>
      </c>
      <c r="K102" s="7">
        <f>1272.52</f>
        <v>1272.52</v>
      </c>
      <c r="L102" s="7">
        <f>1211.48</f>
        <v>1211.48</v>
      </c>
      <c r="M102" s="7">
        <f>1149.68</f>
        <v>1149.68</v>
      </c>
      <c r="N102" s="7">
        <f t="shared" si="23"/>
        <v>17714.41</v>
      </c>
    </row>
    <row r="103" spans="1:14" x14ac:dyDescent="0.3">
      <c r="A103" s="5" t="s">
        <v>111</v>
      </c>
      <c r="B103" s="8">
        <f t="shared" ref="B103:M103" si="24">(B101)+(B102)</f>
        <v>1789.72</v>
      </c>
      <c r="C103" s="8">
        <f t="shared" si="24"/>
        <v>1735.02</v>
      </c>
      <c r="D103" s="8">
        <f t="shared" si="24"/>
        <v>1679.64</v>
      </c>
      <c r="E103" s="8">
        <f t="shared" si="24"/>
        <v>1623.59</v>
      </c>
      <c r="F103" s="8">
        <f t="shared" si="24"/>
        <v>1566.85</v>
      </c>
      <c r="G103" s="8">
        <f t="shared" si="24"/>
        <v>1509.41</v>
      </c>
      <c r="H103" s="8">
        <f t="shared" si="24"/>
        <v>1451.26</v>
      </c>
      <c r="I103" s="8">
        <f t="shared" si="24"/>
        <v>1392.41</v>
      </c>
      <c r="J103" s="8">
        <f t="shared" si="24"/>
        <v>1332.83</v>
      </c>
      <c r="K103" s="8">
        <f t="shared" si="24"/>
        <v>1272.52</v>
      </c>
      <c r="L103" s="8">
        <f t="shared" si="24"/>
        <v>1211.48</v>
      </c>
      <c r="M103" s="8">
        <f t="shared" si="24"/>
        <v>1149.68</v>
      </c>
      <c r="N103" s="8">
        <f t="shared" si="23"/>
        <v>17714.41</v>
      </c>
    </row>
    <row r="104" spans="1:14" x14ac:dyDescent="0.3">
      <c r="A104" s="5" t="s">
        <v>112</v>
      </c>
      <c r="B104" s="7">
        <f t="shared" ref="B104:M104" si="25">219.31</f>
        <v>219.31</v>
      </c>
      <c r="C104" s="7">
        <f t="shared" si="25"/>
        <v>219.31</v>
      </c>
      <c r="D104" s="7">
        <f t="shared" si="25"/>
        <v>219.31</v>
      </c>
      <c r="E104" s="7">
        <f t="shared" si="25"/>
        <v>219.31</v>
      </c>
      <c r="F104" s="7">
        <f t="shared" si="25"/>
        <v>219.31</v>
      </c>
      <c r="G104" s="7">
        <f t="shared" si="25"/>
        <v>219.31</v>
      </c>
      <c r="H104" s="7">
        <f t="shared" si="25"/>
        <v>219.31</v>
      </c>
      <c r="I104" s="7">
        <f t="shared" si="25"/>
        <v>219.31</v>
      </c>
      <c r="J104" s="7">
        <f t="shared" si="25"/>
        <v>219.31</v>
      </c>
      <c r="K104" s="7">
        <f t="shared" si="25"/>
        <v>219.31</v>
      </c>
      <c r="L104" s="7">
        <f t="shared" si="25"/>
        <v>219.31</v>
      </c>
      <c r="M104" s="7">
        <f t="shared" si="25"/>
        <v>219.31</v>
      </c>
      <c r="N104" s="7">
        <f t="shared" si="23"/>
        <v>2631.72</v>
      </c>
    </row>
    <row r="105" spans="1:14" x14ac:dyDescent="0.3">
      <c r="A105" s="5" t="s">
        <v>113</v>
      </c>
      <c r="B105" s="8">
        <f t="shared" ref="B105:M105" si="26">(B103)+(B104)</f>
        <v>2009.03</v>
      </c>
      <c r="C105" s="8">
        <f t="shared" si="26"/>
        <v>1954.33</v>
      </c>
      <c r="D105" s="8">
        <f t="shared" si="26"/>
        <v>1898.95</v>
      </c>
      <c r="E105" s="8">
        <f t="shared" si="26"/>
        <v>1842.8999999999999</v>
      </c>
      <c r="F105" s="8">
        <f t="shared" si="26"/>
        <v>1786.1599999999999</v>
      </c>
      <c r="G105" s="8">
        <f t="shared" si="26"/>
        <v>1728.72</v>
      </c>
      <c r="H105" s="8">
        <f t="shared" si="26"/>
        <v>1670.57</v>
      </c>
      <c r="I105" s="8">
        <f t="shared" si="26"/>
        <v>1611.72</v>
      </c>
      <c r="J105" s="8">
        <f t="shared" si="26"/>
        <v>1552.1399999999999</v>
      </c>
      <c r="K105" s="8">
        <f t="shared" si="26"/>
        <v>1491.83</v>
      </c>
      <c r="L105" s="8">
        <f t="shared" si="26"/>
        <v>1430.79</v>
      </c>
      <c r="M105" s="8">
        <f t="shared" si="26"/>
        <v>1368.99</v>
      </c>
      <c r="N105" s="8">
        <f t="shared" si="23"/>
        <v>20346.13</v>
      </c>
    </row>
    <row r="106" spans="1:14" x14ac:dyDescent="0.3">
      <c r="A106" s="5" t="s">
        <v>114</v>
      </c>
      <c r="B106" s="8">
        <f t="shared" ref="B106:M106" si="27">(B99)-(B105)</f>
        <v>-2001.6</v>
      </c>
      <c r="C106" s="8">
        <f t="shared" si="27"/>
        <v>-1941.8799999999999</v>
      </c>
      <c r="D106" s="8">
        <f t="shared" si="27"/>
        <v>-1890.32</v>
      </c>
      <c r="E106" s="8">
        <f t="shared" si="27"/>
        <v>-1836.82</v>
      </c>
      <c r="F106" s="8">
        <f t="shared" si="27"/>
        <v>-1777.9799999999998</v>
      </c>
      <c r="G106" s="8">
        <f t="shared" si="27"/>
        <v>-1717.6200000000001</v>
      </c>
      <c r="H106" s="8">
        <f t="shared" si="27"/>
        <v>-1649.45</v>
      </c>
      <c r="I106" s="8">
        <f t="shared" si="27"/>
        <v>-1587.34</v>
      </c>
      <c r="J106" s="8">
        <f t="shared" si="27"/>
        <v>-1530.03</v>
      </c>
      <c r="K106" s="8">
        <f t="shared" si="27"/>
        <v>-1473.8999999999999</v>
      </c>
      <c r="L106" s="8">
        <f t="shared" si="27"/>
        <v>-1423.29</v>
      </c>
      <c r="M106" s="8">
        <f t="shared" si="27"/>
        <v>-1365.5</v>
      </c>
      <c r="N106" s="8">
        <f t="shared" si="23"/>
        <v>-20195.730000000003</v>
      </c>
    </row>
    <row r="107" spans="1:14" x14ac:dyDescent="0.3">
      <c r="A107" s="5" t="s">
        <v>115</v>
      </c>
      <c r="B107" s="8">
        <f t="shared" ref="B107:M107" si="28">(B96)+(B106)</f>
        <v>-26086.459999999955</v>
      </c>
      <c r="C107" s="8">
        <f t="shared" si="28"/>
        <v>-122278.78000000003</v>
      </c>
      <c r="D107" s="8">
        <f t="shared" si="28"/>
        <v>-242423.36999999988</v>
      </c>
      <c r="E107" s="8">
        <f t="shared" si="28"/>
        <v>210800.75</v>
      </c>
      <c r="F107" s="8">
        <f t="shared" si="28"/>
        <v>109908.56999999993</v>
      </c>
      <c r="G107" s="8">
        <f t="shared" si="28"/>
        <v>-118149.56999999995</v>
      </c>
      <c r="H107" s="8">
        <f t="shared" si="28"/>
        <v>-14706.86000000015</v>
      </c>
      <c r="I107" s="8">
        <f t="shared" si="28"/>
        <v>146446.62000000008</v>
      </c>
      <c r="J107" s="8">
        <f t="shared" si="28"/>
        <v>-253293.95000000004</v>
      </c>
      <c r="K107" s="8">
        <f t="shared" si="28"/>
        <v>-232624.20999999993</v>
      </c>
      <c r="L107" s="8">
        <f t="shared" si="28"/>
        <v>-114816.81000000001</v>
      </c>
      <c r="M107" s="8">
        <f t="shared" si="28"/>
        <v>-197118.38</v>
      </c>
      <c r="N107" s="8">
        <f t="shared" si="23"/>
        <v>-854342.45</v>
      </c>
    </row>
    <row r="108" spans="1:14" x14ac:dyDescent="0.3">
      <c r="A108" s="5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</row>
    <row r="111" spans="1:14" x14ac:dyDescent="0.3">
      <c r="A111" s="12" t="s">
        <v>116</v>
      </c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3" tint="0.79998168889431442"/>
  </sheetPr>
  <dimension ref="A1:N100"/>
  <sheetViews>
    <sheetView workbookViewId="0"/>
  </sheetViews>
  <sheetFormatPr defaultColWidth="9" defaultRowHeight="14.4" x14ac:dyDescent="0.3"/>
  <cols>
    <col min="1" max="1" width="44.6640625" style="2" customWidth="1"/>
    <col min="2" max="3" width="11.109375" style="2" customWidth="1"/>
    <col min="4" max="4" width="10.33203125" style="2" customWidth="1"/>
    <col min="5" max="5" width="11.109375" style="2" customWidth="1"/>
    <col min="6" max="7" width="10.33203125" style="2" customWidth="1"/>
    <col min="8" max="8" width="11.109375" style="2" customWidth="1"/>
    <col min="9" max="9" width="10.33203125" style="2" customWidth="1"/>
    <col min="10" max="11" width="11.109375" style="2" customWidth="1"/>
    <col min="12" max="12" width="10.33203125" style="2" customWidth="1"/>
    <col min="13" max="13" width="11.109375" style="2" customWidth="1"/>
    <col min="14" max="14" width="12" style="2" customWidth="1"/>
    <col min="15" max="16384" width="9" style="2"/>
  </cols>
  <sheetData>
    <row r="1" spans="1:14" ht="17.399999999999999" x14ac:dyDescent="0.3">
      <c r="A1" s="9" t="s">
        <v>1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</row>
    <row r="2" spans="1:14" ht="17.399999999999999" x14ac:dyDescent="0.3">
      <c r="A2" s="9" t="s">
        <v>2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3">
      <c r="A3" s="11" t="s">
        <v>117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</row>
    <row r="5" spans="1:14" x14ac:dyDescent="0.3">
      <c r="A5" s="3"/>
      <c r="B5" s="13">
        <v>42736</v>
      </c>
      <c r="C5" s="13">
        <v>42767</v>
      </c>
      <c r="D5" s="13">
        <v>42795</v>
      </c>
      <c r="E5" s="13">
        <v>42826</v>
      </c>
      <c r="F5" s="13">
        <v>42856</v>
      </c>
      <c r="G5" s="13">
        <v>42887</v>
      </c>
      <c r="H5" s="13">
        <v>42917</v>
      </c>
      <c r="I5" s="13">
        <v>42948</v>
      </c>
      <c r="J5" s="13">
        <v>42979</v>
      </c>
      <c r="K5" s="13">
        <v>43009</v>
      </c>
      <c r="L5" s="13">
        <v>43040</v>
      </c>
      <c r="M5" s="13">
        <v>43070</v>
      </c>
      <c r="N5" s="4">
        <v>2017</v>
      </c>
    </row>
    <row r="6" spans="1:14" x14ac:dyDescent="0.3">
      <c r="A6" s="5" t="s">
        <v>17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</row>
    <row r="7" spans="1:14" x14ac:dyDescent="0.3">
      <c r="A7" s="5" t="s">
        <v>18</v>
      </c>
      <c r="B7" s="7">
        <f>175479.88</f>
        <v>175479.88</v>
      </c>
      <c r="C7" s="7">
        <f>170936.17</f>
        <v>170936.17</v>
      </c>
      <c r="D7" s="7">
        <f>261609.36</f>
        <v>261609.36</v>
      </c>
      <c r="E7" s="7">
        <f>252471.08</f>
        <v>252471.08</v>
      </c>
      <c r="F7" s="7">
        <f>293509.29</f>
        <v>293509.28999999998</v>
      </c>
      <c r="G7" s="7">
        <f>321195.15</f>
        <v>321195.15000000002</v>
      </c>
      <c r="H7" s="7">
        <f>286840.69</f>
        <v>286840.69</v>
      </c>
      <c r="I7" s="7">
        <f>358925.84</f>
        <v>358925.84</v>
      </c>
      <c r="J7" s="7">
        <f>346468.1</f>
        <v>346468.1</v>
      </c>
      <c r="K7" s="7">
        <f>335459.63</f>
        <v>335459.63</v>
      </c>
      <c r="L7" s="7">
        <f>407025.33</f>
        <v>407025.33</v>
      </c>
      <c r="M7" s="7">
        <f>389783.93</f>
        <v>389783.93</v>
      </c>
      <c r="N7" s="7">
        <f>(((((((((((B7)+(C7))+(D7))+(E7))+(F7))+(G7))+(H7))+(I7))+(J7))+(K7))+(L7))+(M7)</f>
        <v>3599704.45</v>
      </c>
    </row>
    <row r="8" spans="1:14" x14ac:dyDescent="0.3">
      <c r="A8" s="5" t="s">
        <v>19</v>
      </c>
      <c r="B8" s="7">
        <f>-34144.09</f>
        <v>-34144.089999999997</v>
      </c>
      <c r="C8" s="7">
        <f>-12676</f>
        <v>-12676</v>
      </c>
      <c r="D8" s="7">
        <f>-11720.35</f>
        <v>-11720.35</v>
      </c>
      <c r="E8" s="7">
        <f>-12022.52</f>
        <v>-12022.52</v>
      </c>
      <c r="F8" s="7">
        <f>-14894.6</f>
        <v>-14894.6</v>
      </c>
      <c r="G8" s="7">
        <f>-22176.34</f>
        <v>-22176.34</v>
      </c>
      <c r="H8" s="7">
        <f>-19754.36</f>
        <v>-19754.36</v>
      </c>
      <c r="I8" s="7">
        <f>-21243.49</f>
        <v>-21243.49</v>
      </c>
      <c r="J8" s="7">
        <f>-24995</f>
        <v>-24995</v>
      </c>
      <c r="K8" s="7">
        <f>-23676.89</f>
        <v>-23676.89</v>
      </c>
      <c r="L8" s="7">
        <f>-24826.64</f>
        <v>-24826.639999999999</v>
      </c>
      <c r="M8" s="7">
        <f>-47682.73</f>
        <v>-47682.73</v>
      </c>
      <c r="N8" s="7">
        <f>(((((((((((B8)+(C8))+(D8))+(E8))+(F8))+(G8))+(H8))+(I8))+(J8))+(K8))+(L8))+(M8)</f>
        <v>-269813.01</v>
      </c>
    </row>
    <row r="9" spans="1:14" x14ac:dyDescent="0.3">
      <c r="A9" s="5" t="s">
        <v>20</v>
      </c>
      <c r="B9" s="8">
        <f t="shared" ref="B9:M9" si="0">(B7)+(B8)</f>
        <v>141335.79</v>
      </c>
      <c r="C9" s="8">
        <f t="shared" si="0"/>
        <v>158260.17000000001</v>
      </c>
      <c r="D9" s="8">
        <f t="shared" si="0"/>
        <v>249889.00999999998</v>
      </c>
      <c r="E9" s="8">
        <f t="shared" si="0"/>
        <v>240448.56</v>
      </c>
      <c r="F9" s="8">
        <f t="shared" si="0"/>
        <v>278614.69</v>
      </c>
      <c r="G9" s="8">
        <f t="shared" si="0"/>
        <v>299018.81</v>
      </c>
      <c r="H9" s="8">
        <f t="shared" si="0"/>
        <v>267086.33</v>
      </c>
      <c r="I9" s="8">
        <f t="shared" si="0"/>
        <v>337682.35000000003</v>
      </c>
      <c r="J9" s="8">
        <f t="shared" si="0"/>
        <v>321473.09999999998</v>
      </c>
      <c r="K9" s="8">
        <f t="shared" si="0"/>
        <v>311782.74</v>
      </c>
      <c r="L9" s="8">
        <f t="shared" si="0"/>
        <v>382198.69</v>
      </c>
      <c r="M9" s="8">
        <f t="shared" si="0"/>
        <v>342101.2</v>
      </c>
      <c r="N9" s="8">
        <f>(((((((((((B9)+(C9))+(D9))+(E9))+(F9))+(G9))+(H9))+(I9))+(J9))+(K9))+(L9))+(M9)</f>
        <v>3329891.44</v>
      </c>
    </row>
    <row r="10" spans="1:14" x14ac:dyDescent="0.3">
      <c r="A10" s="5" t="s">
        <v>21</v>
      </c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</row>
    <row r="11" spans="1:14" x14ac:dyDescent="0.3">
      <c r="A11" s="5" t="s">
        <v>22</v>
      </c>
      <c r="B11" s="7">
        <f>26523.12</f>
        <v>26523.119999999999</v>
      </c>
      <c r="C11" s="7">
        <f>30740.42</f>
        <v>30740.42</v>
      </c>
      <c r="D11" s="7">
        <f>46988.43</f>
        <v>46988.43</v>
      </c>
      <c r="E11" s="7">
        <f>47224.39</f>
        <v>47224.39</v>
      </c>
      <c r="F11" s="7">
        <f>50759.19</f>
        <v>50759.19</v>
      </c>
      <c r="G11" s="7">
        <f>46558.65</f>
        <v>46558.65</v>
      </c>
      <c r="H11" s="7">
        <f>45516.45</f>
        <v>45516.45</v>
      </c>
      <c r="I11" s="7">
        <f>52236.19</f>
        <v>52236.19</v>
      </c>
      <c r="J11" s="7">
        <f>52845.71</f>
        <v>52845.71</v>
      </c>
      <c r="K11" s="7">
        <f>59026.62</f>
        <v>59026.62</v>
      </c>
      <c r="L11" s="7">
        <f>54818.43</f>
        <v>54818.43</v>
      </c>
      <c r="M11" s="7">
        <f>56179.82</f>
        <v>56179.82</v>
      </c>
      <c r="N11" s="7">
        <f t="shared" ref="N11:N24" si="1">(((((((((((B11)+(C11))+(D11))+(E11))+(F11))+(G11))+(H11))+(I11))+(J11))+(K11))+(L11))+(M11)</f>
        <v>569417.41999999993</v>
      </c>
    </row>
    <row r="12" spans="1:14" x14ac:dyDescent="0.3">
      <c r="A12" s="5" t="s">
        <v>23</v>
      </c>
      <c r="B12" s="7">
        <f>5697.64</f>
        <v>5697.64</v>
      </c>
      <c r="C12" s="7">
        <f>6191.86</f>
        <v>6191.86</v>
      </c>
      <c r="D12" s="7">
        <f>9856.97</f>
        <v>9856.9699999999993</v>
      </c>
      <c r="E12" s="7">
        <f>9322.82</f>
        <v>9322.82</v>
      </c>
      <c r="F12" s="7">
        <f>11514.72</f>
        <v>11514.72</v>
      </c>
      <c r="G12" s="7">
        <f>11392.79</f>
        <v>11392.79</v>
      </c>
      <c r="H12" s="7">
        <f>10420.3</f>
        <v>10420.299999999999</v>
      </c>
      <c r="I12" s="7">
        <f>11423.05</f>
        <v>11423.05</v>
      </c>
      <c r="J12" s="7">
        <f>12535.35</f>
        <v>12535.35</v>
      </c>
      <c r="K12" s="7">
        <f>11812.01</f>
        <v>11812.01</v>
      </c>
      <c r="L12" s="7">
        <f>14279.64</f>
        <v>14279.64</v>
      </c>
      <c r="M12" s="7">
        <f>13151.13</f>
        <v>13151.13</v>
      </c>
      <c r="N12" s="7">
        <f t="shared" si="1"/>
        <v>127598.28000000001</v>
      </c>
    </row>
    <row r="13" spans="1:14" x14ac:dyDescent="0.3">
      <c r="A13" s="5" t="s">
        <v>24</v>
      </c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7">
        <f t="shared" si="1"/>
        <v>0</v>
      </c>
    </row>
    <row r="14" spans="1:14" x14ac:dyDescent="0.3">
      <c r="A14" s="5" t="s">
        <v>25</v>
      </c>
      <c r="B14" s="7">
        <f>20694.44</f>
        <v>20694.439999999999</v>
      </c>
      <c r="C14" s="7">
        <f>20221.49</f>
        <v>20221.490000000002</v>
      </c>
      <c r="D14" s="7">
        <f>33259.2</f>
        <v>33259.199999999997</v>
      </c>
      <c r="E14" s="7">
        <f>31384.4</f>
        <v>31384.400000000001</v>
      </c>
      <c r="F14" s="7">
        <f>33329.34</f>
        <v>33329.339999999997</v>
      </c>
      <c r="G14" s="7">
        <f>42767.6</f>
        <v>42767.6</v>
      </c>
      <c r="H14" s="7">
        <f>32441.55</f>
        <v>32441.55</v>
      </c>
      <c r="I14" s="7">
        <f>38853.08</f>
        <v>38853.08</v>
      </c>
      <c r="J14" s="7">
        <f>53332.15</f>
        <v>53332.15</v>
      </c>
      <c r="K14" s="7">
        <f>43583.8</f>
        <v>43583.8</v>
      </c>
      <c r="L14" s="7">
        <f>44390.93</f>
        <v>44390.93</v>
      </c>
      <c r="M14" s="7">
        <f>58387.1</f>
        <v>58387.1</v>
      </c>
      <c r="N14" s="7">
        <f t="shared" si="1"/>
        <v>452645.07999999996</v>
      </c>
    </row>
    <row r="15" spans="1:14" x14ac:dyDescent="0.3">
      <c r="A15" s="5" t="s">
        <v>26</v>
      </c>
      <c r="B15" s="7">
        <f>1656.2</f>
        <v>1656.2</v>
      </c>
      <c r="C15" s="7">
        <f>2272.95</f>
        <v>2272.9499999999998</v>
      </c>
      <c r="D15" s="7">
        <f>2347.4</f>
        <v>2347.4</v>
      </c>
      <c r="E15" s="7">
        <f>1357.8</f>
        <v>1357.8</v>
      </c>
      <c r="F15" s="7">
        <f>1815.25</f>
        <v>1815.25</v>
      </c>
      <c r="G15" s="7">
        <f>5463.2</f>
        <v>5463.2</v>
      </c>
      <c r="H15" s="7">
        <f>3484.75</f>
        <v>3484.75</v>
      </c>
      <c r="I15" s="7">
        <f>1604.2</f>
        <v>1604.2</v>
      </c>
      <c r="J15" s="7">
        <f>4405.95</f>
        <v>4405.95</v>
      </c>
      <c r="K15" s="7">
        <f>6484.15</f>
        <v>6484.15</v>
      </c>
      <c r="L15" s="7">
        <f>4647.85</f>
        <v>4647.8500000000004</v>
      </c>
      <c r="M15" s="7">
        <f>29321.5</f>
        <v>29321.5</v>
      </c>
      <c r="N15" s="7">
        <f t="shared" si="1"/>
        <v>64861.2</v>
      </c>
    </row>
    <row r="16" spans="1:14" x14ac:dyDescent="0.3">
      <c r="A16" s="5" t="s">
        <v>28</v>
      </c>
      <c r="B16" s="7">
        <f>607.43</f>
        <v>607.42999999999995</v>
      </c>
      <c r="C16" s="7">
        <f>1398.54</f>
        <v>1398.54</v>
      </c>
      <c r="D16" s="7">
        <f>1662.99</f>
        <v>1662.99</v>
      </c>
      <c r="E16" s="7">
        <f>1311.8</f>
        <v>1311.8</v>
      </c>
      <c r="F16" s="7">
        <f>2821.99</f>
        <v>2821.99</v>
      </c>
      <c r="G16" s="7">
        <f>2420.18</f>
        <v>2420.1799999999998</v>
      </c>
      <c r="H16" s="7">
        <f>884.75</f>
        <v>884.75</v>
      </c>
      <c r="I16" s="7">
        <f>2314.3</f>
        <v>2314.3000000000002</v>
      </c>
      <c r="J16" s="7">
        <f>1584.58</f>
        <v>1584.58</v>
      </c>
      <c r="K16" s="7">
        <f>1543</f>
        <v>1543</v>
      </c>
      <c r="L16" s="7">
        <f>3340.51</f>
        <v>3340.51</v>
      </c>
      <c r="M16" s="7">
        <f>2658.67</f>
        <v>2658.67</v>
      </c>
      <c r="N16" s="7">
        <f t="shared" si="1"/>
        <v>22548.739999999998</v>
      </c>
    </row>
    <row r="17" spans="1:14" x14ac:dyDescent="0.3">
      <c r="A17" s="5" t="s">
        <v>29</v>
      </c>
      <c r="B17" s="7">
        <f>17931.25</f>
        <v>17931.25</v>
      </c>
      <c r="C17" s="7">
        <f>19718.35</f>
        <v>19718.349999999999</v>
      </c>
      <c r="D17" s="7">
        <f>25161.11</f>
        <v>25161.11</v>
      </c>
      <c r="E17" s="7">
        <f>27328.65</f>
        <v>27328.65</v>
      </c>
      <c r="F17" s="7">
        <f>31524.6</f>
        <v>31524.6</v>
      </c>
      <c r="G17" s="7">
        <f>31958.14</f>
        <v>31958.14</v>
      </c>
      <c r="H17" s="7">
        <f>33545.75</f>
        <v>33545.75</v>
      </c>
      <c r="I17" s="7">
        <f>35099.77</f>
        <v>35099.769999999997</v>
      </c>
      <c r="J17" s="7">
        <f>39114.35</f>
        <v>39114.35</v>
      </c>
      <c r="K17" s="7">
        <f>42916.88</f>
        <v>42916.88</v>
      </c>
      <c r="L17" s="7">
        <f>38700</f>
        <v>38700</v>
      </c>
      <c r="M17" s="7">
        <f>20244.5</f>
        <v>20244.5</v>
      </c>
      <c r="N17" s="7">
        <f t="shared" si="1"/>
        <v>363243.35</v>
      </c>
    </row>
    <row r="18" spans="1:14" x14ac:dyDescent="0.3">
      <c r="A18" s="5" t="s">
        <v>30</v>
      </c>
      <c r="B18" s="8">
        <f t="shared" ref="B18:M18" si="2">((((B13)+(B14))+(B15))+(B16))+(B17)</f>
        <v>40889.32</v>
      </c>
      <c r="C18" s="8">
        <f t="shared" si="2"/>
        <v>43611.33</v>
      </c>
      <c r="D18" s="8">
        <f t="shared" si="2"/>
        <v>62430.7</v>
      </c>
      <c r="E18" s="8">
        <f t="shared" si="2"/>
        <v>61382.65</v>
      </c>
      <c r="F18" s="8">
        <f t="shared" si="2"/>
        <v>69491.179999999993</v>
      </c>
      <c r="G18" s="8">
        <f t="shared" si="2"/>
        <v>82609.119999999995</v>
      </c>
      <c r="H18" s="8">
        <f t="shared" si="2"/>
        <v>70356.800000000003</v>
      </c>
      <c r="I18" s="8">
        <f t="shared" si="2"/>
        <v>77871.350000000006</v>
      </c>
      <c r="J18" s="8">
        <f t="shared" si="2"/>
        <v>98437.03</v>
      </c>
      <c r="K18" s="8">
        <f t="shared" si="2"/>
        <v>94527.83</v>
      </c>
      <c r="L18" s="8">
        <f t="shared" si="2"/>
        <v>91079.290000000008</v>
      </c>
      <c r="M18" s="8">
        <f t="shared" si="2"/>
        <v>110611.77</v>
      </c>
      <c r="N18" s="8">
        <f t="shared" si="1"/>
        <v>903298.37</v>
      </c>
    </row>
    <row r="19" spans="1:14" x14ac:dyDescent="0.3">
      <c r="A19" s="5" t="s">
        <v>31</v>
      </c>
      <c r="B19" s="7">
        <f>2963.89</f>
        <v>2963.89</v>
      </c>
      <c r="C19" s="7">
        <f>3657.24</f>
        <v>3657.24</v>
      </c>
      <c r="D19" s="7">
        <f>4576.34</f>
        <v>4576.34</v>
      </c>
      <c r="E19" s="7">
        <f>4791.45</f>
        <v>4791.45</v>
      </c>
      <c r="F19" s="7">
        <f>4423.54</f>
        <v>4423.54</v>
      </c>
      <c r="G19" s="7">
        <f>4030.84</f>
        <v>4030.84</v>
      </c>
      <c r="H19" s="7">
        <f>3743.04</f>
        <v>3743.04</v>
      </c>
      <c r="I19" s="7">
        <f>5429.54</f>
        <v>5429.54</v>
      </c>
      <c r="J19" s="7">
        <f>5833.37</f>
        <v>5833.37</v>
      </c>
      <c r="K19" s="7">
        <f>6299.59</f>
        <v>6299.59</v>
      </c>
      <c r="L19" s="7">
        <f>5855.91</f>
        <v>5855.91</v>
      </c>
      <c r="M19" s="7">
        <f>6029.6</f>
        <v>6029.6</v>
      </c>
      <c r="N19" s="7">
        <f t="shared" si="1"/>
        <v>57634.35</v>
      </c>
    </row>
    <row r="20" spans="1:14" x14ac:dyDescent="0.3">
      <c r="A20" s="5" t="s">
        <v>32</v>
      </c>
      <c r="B20" s="7">
        <f>5316.12</f>
        <v>5316.12</v>
      </c>
      <c r="C20" s="7">
        <f>4237.49</f>
        <v>4237.49</v>
      </c>
      <c r="D20" s="7">
        <f>6701.26</f>
        <v>6701.26</v>
      </c>
      <c r="E20" s="7">
        <f>5330.57</f>
        <v>5330.57</v>
      </c>
      <c r="F20" s="7">
        <f>7189.04</f>
        <v>7189.04</v>
      </c>
      <c r="G20" s="7">
        <f>8649.19</f>
        <v>8649.19</v>
      </c>
      <c r="H20" s="7">
        <f>5664.12</f>
        <v>5664.12</v>
      </c>
      <c r="I20" s="7">
        <f>8430.07</f>
        <v>8430.07</v>
      </c>
      <c r="J20" s="7">
        <f>8408.08</f>
        <v>8408.08</v>
      </c>
      <c r="K20" s="7">
        <f>19785.06</f>
        <v>19785.060000000001</v>
      </c>
      <c r="L20" s="7">
        <f>9265.18</f>
        <v>9265.18</v>
      </c>
      <c r="M20" s="7">
        <f>10533.51</f>
        <v>10533.51</v>
      </c>
      <c r="N20" s="7">
        <f t="shared" si="1"/>
        <v>99509.690000000017</v>
      </c>
    </row>
    <row r="21" spans="1:14" x14ac:dyDescent="0.3">
      <c r="A21" s="5" t="s">
        <v>33</v>
      </c>
      <c r="B21" s="7">
        <f>1235.45</f>
        <v>1235.45</v>
      </c>
      <c r="C21" s="7">
        <f>1261.52</f>
        <v>1261.52</v>
      </c>
      <c r="D21" s="7">
        <f>2953.44</f>
        <v>2953.44</v>
      </c>
      <c r="E21" s="7">
        <f>1787.31</f>
        <v>1787.31</v>
      </c>
      <c r="F21" s="6"/>
      <c r="G21" s="7">
        <f>2110.43</f>
        <v>2110.4299999999998</v>
      </c>
      <c r="H21" s="7">
        <f>2101.28</f>
        <v>2101.2800000000002</v>
      </c>
      <c r="I21" s="7">
        <f>2010.09</f>
        <v>2010.09</v>
      </c>
      <c r="J21" s="6"/>
      <c r="K21" s="7">
        <f>4972.68</f>
        <v>4972.68</v>
      </c>
      <c r="L21" s="7">
        <f>2617.33</f>
        <v>2617.33</v>
      </c>
      <c r="M21" s="7">
        <f>2550.9</f>
        <v>2550.9</v>
      </c>
      <c r="N21" s="7">
        <f t="shared" si="1"/>
        <v>23600.43</v>
      </c>
    </row>
    <row r="22" spans="1:14" x14ac:dyDescent="0.3">
      <c r="A22" s="5" t="s">
        <v>34</v>
      </c>
      <c r="B22" s="7">
        <f>62.62</f>
        <v>62.62</v>
      </c>
      <c r="C22" s="6"/>
      <c r="D22" s="6"/>
      <c r="E22" s="7">
        <f>444.58</f>
        <v>444.58</v>
      </c>
      <c r="F22" s="7">
        <f>741.55</f>
        <v>741.55</v>
      </c>
      <c r="G22" s="7">
        <f>1524.94</f>
        <v>1524.94</v>
      </c>
      <c r="H22" s="7">
        <f>677.14</f>
        <v>677.14</v>
      </c>
      <c r="I22" s="7">
        <f>677.22</f>
        <v>677.22</v>
      </c>
      <c r="J22" s="7">
        <f>2299.01</f>
        <v>2299.0100000000002</v>
      </c>
      <c r="K22" s="6"/>
      <c r="L22" s="7">
        <f>54.6</f>
        <v>54.6</v>
      </c>
      <c r="M22" s="7">
        <f>1296.22</f>
        <v>1296.22</v>
      </c>
      <c r="N22" s="7">
        <f t="shared" si="1"/>
        <v>7777.880000000001</v>
      </c>
    </row>
    <row r="23" spans="1:14" x14ac:dyDescent="0.3">
      <c r="A23" s="5" t="s">
        <v>35</v>
      </c>
      <c r="B23" s="8">
        <f t="shared" ref="B23:M23" si="3">((((((B11)+(B12))+(B18))+(B19))+(B20))+(B21))+(B22)</f>
        <v>82688.159999999989</v>
      </c>
      <c r="C23" s="8">
        <f t="shared" si="3"/>
        <v>89699.860000000015</v>
      </c>
      <c r="D23" s="8">
        <f t="shared" si="3"/>
        <v>133507.13999999998</v>
      </c>
      <c r="E23" s="8">
        <f t="shared" si="3"/>
        <v>130283.77</v>
      </c>
      <c r="F23" s="8">
        <f t="shared" si="3"/>
        <v>144119.22</v>
      </c>
      <c r="G23" s="8">
        <f t="shared" si="3"/>
        <v>156875.96</v>
      </c>
      <c r="H23" s="8">
        <f t="shared" si="3"/>
        <v>138479.13</v>
      </c>
      <c r="I23" s="8">
        <f t="shared" si="3"/>
        <v>158077.51000000004</v>
      </c>
      <c r="J23" s="8">
        <f t="shared" si="3"/>
        <v>180358.55</v>
      </c>
      <c r="K23" s="8">
        <f t="shared" si="3"/>
        <v>196423.79</v>
      </c>
      <c r="L23" s="8">
        <f t="shared" si="3"/>
        <v>177970.38</v>
      </c>
      <c r="M23" s="8">
        <f t="shared" si="3"/>
        <v>200352.95</v>
      </c>
      <c r="N23" s="8">
        <f t="shared" si="1"/>
        <v>1788836.4200000002</v>
      </c>
    </row>
    <row r="24" spans="1:14" x14ac:dyDescent="0.3">
      <c r="A24" s="5" t="s">
        <v>36</v>
      </c>
      <c r="B24" s="8">
        <f t="shared" ref="B24:M24" si="4">(B9)-(B23)</f>
        <v>58647.630000000019</v>
      </c>
      <c r="C24" s="8">
        <f t="shared" si="4"/>
        <v>68560.31</v>
      </c>
      <c r="D24" s="8">
        <f t="shared" si="4"/>
        <v>116381.87</v>
      </c>
      <c r="E24" s="8">
        <f t="shared" si="4"/>
        <v>110164.79</v>
      </c>
      <c r="F24" s="8">
        <f t="shared" si="4"/>
        <v>134495.47</v>
      </c>
      <c r="G24" s="8">
        <f t="shared" si="4"/>
        <v>142142.85</v>
      </c>
      <c r="H24" s="8">
        <f t="shared" si="4"/>
        <v>128607.20000000001</v>
      </c>
      <c r="I24" s="8">
        <f t="shared" si="4"/>
        <v>179604.84</v>
      </c>
      <c r="J24" s="8">
        <f t="shared" si="4"/>
        <v>141114.54999999999</v>
      </c>
      <c r="K24" s="8">
        <f t="shared" si="4"/>
        <v>115358.94999999998</v>
      </c>
      <c r="L24" s="8">
        <f t="shared" si="4"/>
        <v>204228.31</v>
      </c>
      <c r="M24" s="8">
        <f t="shared" si="4"/>
        <v>141748.25</v>
      </c>
      <c r="N24" s="8">
        <f t="shared" si="1"/>
        <v>1541055.0199999998</v>
      </c>
    </row>
    <row r="25" spans="1:14" x14ac:dyDescent="0.3">
      <c r="A25" s="5" t="s">
        <v>37</v>
      </c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</row>
    <row r="26" spans="1:14" x14ac:dyDescent="0.3">
      <c r="A26" s="5" t="s">
        <v>39</v>
      </c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7">
        <f t="shared" ref="N26:N85" si="5">(((((((((((B26)+(C26))+(D26))+(E26))+(F26))+(G26))+(H26))+(I26))+(J26))+(K26))+(L26))+(M26)</f>
        <v>0</v>
      </c>
    </row>
    <row r="27" spans="1:14" x14ac:dyDescent="0.3">
      <c r="A27" s="5" t="s">
        <v>40</v>
      </c>
      <c r="B27" s="7">
        <f>45.61</f>
        <v>45.61</v>
      </c>
      <c r="C27" s="7">
        <f>-336.8</f>
        <v>-336.8</v>
      </c>
      <c r="D27" s="7">
        <f>283.6</f>
        <v>283.60000000000002</v>
      </c>
      <c r="E27" s="7">
        <f>229.75</f>
        <v>229.75</v>
      </c>
      <c r="F27" s="7">
        <f>185.65</f>
        <v>185.65</v>
      </c>
      <c r="G27" s="7">
        <f>305.8</f>
        <v>305.8</v>
      </c>
      <c r="H27" s="7">
        <f>294.35</f>
        <v>294.35000000000002</v>
      </c>
      <c r="I27" s="7">
        <f>357.8</f>
        <v>357.8</v>
      </c>
      <c r="J27" s="7">
        <f>248.8</f>
        <v>248.8</v>
      </c>
      <c r="K27" s="7">
        <f>245.05</f>
        <v>245.05</v>
      </c>
      <c r="L27" s="7">
        <f>221.95</f>
        <v>221.95</v>
      </c>
      <c r="M27" s="7">
        <f>182.03</f>
        <v>182.03</v>
      </c>
      <c r="N27" s="7">
        <f t="shared" si="5"/>
        <v>2263.59</v>
      </c>
    </row>
    <row r="28" spans="1:14" x14ac:dyDescent="0.3">
      <c r="A28" s="5" t="s">
        <v>130</v>
      </c>
      <c r="B28" s="6"/>
      <c r="C28" s="6"/>
      <c r="D28" s="6"/>
      <c r="E28" s="6"/>
      <c r="F28" s="6"/>
      <c r="G28" s="6"/>
      <c r="H28" s="6"/>
      <c r="I28" s="6"/>
      <c r="J28" s="7">
        <f>490.08</f>
        <v>490.08</v>
      </c>
      <c r="K28" s="7">
        <f>1</f>
        <v>1</v>
      </c>
      <c r="L28" s="6"/>
      <c r="M28" s="6"/>
      <c r="N28" s="7">
        <f t="shared" si="5"/>
        <v>491.08</v>
      </c>
    </row>
    <row r="29" spans="1:14" x14ac:dyDescent="0.3">
      <c r="A29" s="5" t="s">
        <v>44</v>
      </c>
      <c r="B29" s="7">
        <f>120.68</f>
        <v>120.68</v>
      </c>
      <c r="C29" s="6"/>
      <c r="D29" s="6"/>
      <c r="E29" s="7">
        <f>2214</f>
        <v>2214</v>
      </c>
      <c r="F29" s="7">
        <f>1112.16</f>
        <v>1112.1600000000001</v>
      </c>
      <c r="G29" s="6"/>
      <c r="H29" s="6"/>
      <c r="I29" s="6"/>
      <c r="J29" s="7">
        <f>1112.16</f>
        <v>1112.1600000000001</v>
      </c>
      <c r="K29" s="6"/>
      <c r="L29" s="6"/>
      <c r="M29" s="6"/>
      <c r="N29" s="7">
        <f t="shared" si="5"/>
        <v>4559</v>
      </c>
    </row>
    <row r="30" spans="1:14" x14ac:dyDescent="0.3">
      <c r="A30" s="5" t="s">
        <v>45</v>
      </c>
      <c r="B30" s="6"/>
      <c r="C30" s="7">
        <f>175.56</f>
        <v>175.56</v>
      </c>
      <c r="D30" s="7">
        <f>22.1</f>
        <v>22.1</v>
      </c>
      <c r="E30" s="6"/>
      <c r="F30" s="6"/>
      <c r="G30" s="7">
        <f>442.29</f>
        <v>442.29</v>
      </c>
      <c r="H30" s="7">
        <f>367.09</f>
        <v>367.09</v>
      </c>
      <c r="I30" s="7">
        <f>165.91</f>
        <v>165.91</v>
      </c>
      <c r="J30" s="7">
        <f>929.9</f>
        <v>929.9</v>
      </c>
      <c r="K30" s="7">
        <f>1111.74</f>
        <v>1111.74</v>
      </c>
      <c r="L30" s="7">
        <f>2056.46</f>
        <v>2056.46</v>
      </c>
      <c r="M30" s="7">
        <f>82.43</f>
        <v>82.43</v>
      </c>
      <c r="N30" s="7">
        <f t="shared" si="5"/>
        <v>5353.4800000000005</v>
      </c>
    </row>
    <row r="31" spans="1:14" x14ac:dyDescent="0.3">
      <c r="A31" s="5" t="s">
        <v>46</v>
      </c>
      <c r="B31" s="7">
        <f>194.62</f>
        <v>194.62</v>
      </c>
      <c r="C31" s="7">
        <f>670.77</f>
        <v>670.77</v>
      </c>
      <c r="D31" s="7">
        <f>738.18</f>
        <v>738.18</v>
      </c>
      <c r="E31" s="7">
        <f>11.81</f>
        <v>11.81</v>
      </c>
      <c r="F31" s="7">
        <f>1071.24</f>
        <v>1071.24</v>
      </c>
      <c r="G31" s="7">
        <f>566.78</f>
        <v>566.78</v>
      </c>
      <c r="H31" s="7">
        <f>77.71</f>
        <v>77.709999999999994</v>
      </c>
      <c r="I31" s="7">
        <f>27.2</f>
        <v>27.2</v>
      </c>
      <c r="J31" s="7">
        <f>311.88</f>
        <v>311.88</v>
      </c>
      <c r="K31" s="6"/>
      <c r="L31" s="7">
        <f>10.81</f>
        <v>10.81</v>
      </c>
      <c r="M31" s="7">
        <f>488.56</f>
        <v>488.56</v>
      </c>
      <c r="N31" s="7">
        <f t="shared" si="5"/>
        <v>4169.5599999999995</v>
      </c>
    </row>
    <row r="32" spans="1:14" x14ac:dyDescent="0.3">
      <c r="A32" s="5" t="s">
        <v>47</v>
      </c>
      <c r="B32" s="7">
        <f>40</f>
        <v>40</v>
      </c>
      <c r="C32" s="6"/>
      <c r="D32" s="6"/>
      <c r="E32" s="6"/>
      <c r="F32" s="7">
        <f>126.54</f>
        <v>126.54</v>
      </c>
      <c r="G32" s="7">
        <f>74.01</f>
        <v>74.010000000000005</v>
      </c>
      <c r="H32" s="7">
        <f>6.72</f>
        <v>6.72</v>
      </c>
      <c r="I32" s="7">
        <f>162.3</f>
        <v>162.30000000000001</v>
      </c>
      <c r="J32" s="7">
        <f>167.45</f>
        <v>167.45</v>
      </c>
      <c r="K32" s="7">
        <f>191.21</f>
        <v>191.21</v>
      </c>
      <c r="L32" s="6"/>
      <c r="M32" s="6"/>
      <c r="N32" s="7">
        <f t="shared" si="5"/>
        <v>768.23</v>
      </c>
    </row>
    <row r="33" spans="1:14" x14ac:dyDescent="0.3">
      <c r="A33" s="5" t="s">
        <v>49</v>
      </c>
      <c r="B33" s="8">
        <f t="shared" ref="B33:M33" si="6">(B31)+(B32)</f>
        <v>234.62</v>
      </c>
      <c r="C33" s="8">
        <f t="shared" si="6"/>
        <v>670.77</v>
      </c>
      <c r="D33" s="8">
        <f t="shared" si="6"/>
        <v>738.18</v>
      </c>
      <c r="E33" s="8">
        <f t="shared" si="6"/>
        <v>11.81</v>
      </c>
      <c r="F33" s="8">
        <f t="shared" si="6"/>
        <v>1197.78</v>
      </c>
      <c r="G33" s="8">
        <f t="shared" si="6"/>
        <v>640.79</v>
      </c>
      <c r="H33" s="8">
        <f t="shared" si="6"/>
        <v>84.429999999999993</v>
      </c>
      <c r="I33" s="8">
        <f t="shared" si="6"/>
        <v>189.5</v>
      </c>
      <c r="J33" s="8">
        <f t="shared" si="6"/>
        <v>479.33</v>
      </c>
      <c r="K33" s="8">
        <f t="shared" si="6"/>
        <v>191.21</v>
      </c>
      <c r="L33" s="8">
        <f t="shared" si="6"/>
        <v>10.81</v>
      </c>
      <c r="M33" s="8">
        <f t="shared" si="6"/>
        <v>488.56</v>
      </c>
      <c r="N33" s="8">
        <f t="shared" si="5"/>
        <v>4937.7900000000009</v>
      </c>
    </row>
    <row r="34" spans="1:14" x14ac:dyDescent="0.3">
      <c r="A34" s="5" t="s">
        <v>50</v>
      </c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7">
        <f t="shared" si="5"/>
        <v>0</v>
      </c>
    </row>
    <row r="35" spans="1:14" x14ac:dyDescent="0.3">
      <c r="A35" s="5" t="s">
        <v>51</v>
      </c>
      <c r="B35" s="6"/>
      <c r="C35" s="6"/>
      <c r="D35" s="7">
        <f>130.28</f>
        <v>130.28</v>
      </c>
      <c r="E35" s="6"/>
      <c r="F35" s="7">
        <f>200.57</f>
        <v>200.57</v>
      </c>
      <c r="G35" s="7">
        <f>105</f>
        <v>105</v>
      </c>
      <c r="H35" s="6"/>
      <c r="I35" s="6"/>
      <c r="J35" s="7">
        <f>393.6</f>
        <v>393.6</v>
      </c>
      <c r="K35" s="7">
        <f>33.69</f>
        <v>33.69</v>
      </c>
      <c r="L35" s="7">
        <f>147.51</f>
        <v>147.51</v>
      </c>
      <c r="M35" s="7">
        <f>16.63</f>
        <v>16.63</v>
      </c>
      <c r="N35" s="7">
        <f t="shared" si="5"/>
        <v>1027.2800000000002</v>
      </c>
    </row>
    <row r="36" spans="1:14" x14ac:dyDescent="0.3">
      <c r="A36" s="5" t="s">
        <v>52</v>
      </c>
      <c r="B36" s="6"/>
      <c r="C36" s="6"/>
      <c r="D36" s="6"/>
      <c r="E36" s="6"/>
      <c r="F36" s="6"/>
      <c r="G36" s="6"/>
      <c r="H36" s="6"/>
      <c r="I36" s="6"/>
      <c r="J36" s="6"/>
      <c r="K36" s="6"/>
      <c r="L36" s="7">
        <f>148.94</f>
        <v>148.94</v>
      </c>
      <c r="M36" s="7">
        <f>39.18</f>
        <v>39.18</v>
      </c>
      <c r="N36" s="7">
        <f t="shared" si="5"/>
        <v>188.12</v>
      </c>
    </row>
    <row r="37" spans="1:14" x14ac:dyDescent="0.3">
      <c r="A37" s="5" t="s">
        <v>53</v>
      </c>
      <c r="B37" s="8">
        <f t="shared" ref="B37:M37" si="7">((B34)+(B35))+(B36)</f>
        <v>0</v>
      </c>
      <c r="C37" s="8">
        <f t="shared" si="7"/>
        <v>0</v>
      </c>
      <c r="D37" s="8">
        <f t="shared" si="7"/>
        <v>130.28</v>
      </c>
      <c r="E37" s="8">
        <f t="shared" si="7"/>
        <v>0</v>
      </c>
      <c r="F37" s="8">
        <f t="shared" si="7"/>
        <v>200.57</v>
      </c>
      <c r="G37" s="8">
        <f t="shared" si="7"/>
        <v>105</v>
      </c>
      <c r="H37" s="8">
        <f t="shared" si="7"/>
        <v>0</v>
      </c>
      <c r="I37" s="8">
        <f t="shared" si="7"/>
        <v>0</v>
      </c>
      <c r="J37" s="8">
        <f t="shared" si="7"/>
        <v>393.6</v>
      </c>
      <c r="K37" s="8">
        <f t="shared" si="7"/>
        <v>33.69</v>
      </c>
      <c r="L37" s="8">
        <f t="shared" si="7"/>
        <v>296.45</v>
      </c>
      <c r="M37" s="8">
        <f t="shared" si="7"/>
        <v>55.81</v>
      </c>
      <c r="N37" s="8">
        <f t="shared" si="5"/>
        <v>1215.4000000000001</v>
      </c>
    </row>
    <row r="38" spans="1:14" x14ac:dyDescent="0.3">
      <c r="A38" s="5" t="s">
        <v>54</v>
      </c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7">
        <f t="shared" si="5"/>
        <v>0</v>
      </c>
    </row>
    <row r="39" spans="1:14" x14ac:dyDescent="0.3">
      <c r="A39" s="5" t="s">
        <v>55</v>
      </c>
      <c r="B39" s="7">
        <f>350</f>
        <v>350</v>
      </c>
      <c r="C39" s="7">
        <f>54</f>
        <v>54</v>
      </c>
      <c r="D39" s="7">
        <f>54</f>
        <v>54</v>
      </c>
      <c r="E39" s="7">
        <f>3927.5</f>
        <v>3927.5</v>
      </c>
      <c r="F39" s="6"/>
      <c r="G39" s="7">
        <f>1091.5</f>
        <v>1091.5</v>
      </c>
      <c r="H39" s="7">
        <f>1628.5</f>
        <v>1628.5</v>
      </c>
      <c r="I39" s="7">
        <f>1994</f>
        <v>1994</v>
      </c>
      <c r="J39" s="7">
        <f>188.79</f>
        <v>188.79</v>
      </c>
      <c r="K39" s="7">
        <f>54</f>
        <v>54</v>
      </c>
      <c r="L39" s="7">
        <f>54</f>
        <v>54</v>
      </c>
      <c r="M39" s="7">
        <f>149</f>
        <v>149</v>
      </c>
      <c r="N39" s="7">
        <f t="shared" si="5"/>
        <v>9545.2900000000009</v>
      </c>
    </row>
    <row r="40" spans="1:14" x14ac:dyDescent="0.3">
      <c r="A40" s="5" t="s">
        <v>57</v>
      </c>
      <c r="B40" s="6"/>
      <c r="C40" s="7">
        <f>1000</f>
        <v>1000</v>
      </c>
      <c r="D40" s="6"/>
      <c r="E40" s="6"/>
      <c r="F40" s="6"/>
      <c r="G40" s="6"/>
      <c r="H40" s="7">
        <f>5932.5</f>
        <v>5932.5</v>
      </c>
      <c r="I40" s="7">
        <f>4664.5</f>
        <v>4664.5</v>
      </c>
      <c r="J40" s="7">
        <f>5449.02</f>
        <v>5449.02</v>
      </c>
      <c r="K40" s="7">
        <f>3468</f>
        <v>3468</v>
      </c>
      <c r="L40" s="6"/>
      <c r="M40" s="7">
        <f>1681.5</f>
        <v>1681.5</v>
      </c>
      <c r="N40" s="7">
        <f t="shared" si="5"/>
        <v>22195.52</v>
      </c>
    </row>
    <row r="41" spans="1:14" x14ac:dyDescent="0.3">
      <c r="A41" s="5" t="s">
        <v>131</v>
      </c>
      <c r="B41" s="6"/>
      <c r="C41" s="6"/>
      <c r="D41" s="6"/>
      <c r="E41" s="6"/>
      <c r="F41" s="6"/>
      <c r="G41" s="6"/>
      <c r="H41" s="6"/>
      <c r="I41" s="6"/>
      <c r="J41" s="7">
        <f>355.5</f>
        <v>355.5</v>
      </c>
      <c r="K41" s="7">
        <f>500</f>
        <v>500</v>
      </c>
      <c r="L41" s="6"/>
      <c r="M41" s="7">
        <f>501.2</f>
        <v>501.2</v>
      </c>
      <c r="N41" s="7">
        <f t="shared" si="5"/>
        <v>1356.7</v>
      </c>
    </row>
    <row r="42" spans="1:14" x14ac:dyDescent="0.3">
      <c r="A42" s="5" t="s">
        <v>58</v>
      </c>
      <c r="B42" s="8">
        <f t="shared" ref="B42:M42" si="8">(((B38)+(B39))+(B40))+(B41)</f>
        <v>350</v>
      </c>
      <c r="C42" s="8">
        <f t="shared" si="8"/>
        <v>1054</v>
      </c>
      <c r="D42" s="8">
        <f t="shared" si="8"/>
        <v>54</v>
      </c>
      <c r="E42" s="8">
        <f t="shared" si="8"/>
        <v>3927.5</v>
      </c>
      <c r="F42" s="8">
        <f t="shared" si="8"/>
        <v>0</v>
      </c>
      <c r="G42" s="8">
        <f t="shared" si="8"/>
        <v>1091.5</v>
      </c>
      <c r="H42" s="8">
        <f t="shared" si="8"/>
        <v>7561</v>
      </c>
      <c r="I42" s="8">
        <f t="shared" si="8"/>
        <v>6658.5</v>
      </c>
      <c r="J42" s="8">
        <f t="shared" si="8"/>
        <v>5993.31</v>
      </c>
      <c r="K42" s="8">
        <f t="shared" si="8"/>
        <v>4022</v>
      </c>
      <c r="L42" s="8">
        <f t="shared" si="8"/>
        <v>54</v>
      </c>
      <c r="M42" s="8">
        <f t="shared" si="8"/>
        <v>2331.6999999999998</v>
      </c>
      <c r="N42" s="8">
        <f t="shared" si="5"/>
        <v>33097.51</v>
      </c>
    </row>
    <row r="43" spans="1:14" x14ac:dyDescent="0.3">
      <c r="A43" s="5" t="s">
        <v>59</v>
      </c>
      <c r="B43" s="7">
        <f>70</f>
        <v>70</v>
      </c>
      <c r="C43" s="6"/>
      <c r="D43" s="7">
        <f>255</f>
        <v>255</v>
      </c>
      <c r="E43" s="7">
        <f>122.5</f>
        <v>122.5</v>
      </c>
      <c r="F43" s="7">
        <f>80</f>
        <v>80</v>
      </c>
      <c r="G43" s="7">
        <f>322.5</f>
        <v>322.5</v>
      </c>
      <c r="H43" s="7">
        <f>245</f>
        <v>245</v>
      </c>
      <c r="I43" s="7">
        <f>105</f>
        <v>105</v>
      </c>
      <c r="J43" s="7">
        <f>140</f>
        <v>140</v>
      </c>
      <c r="K43" s="7">
        <f>140</f>
        <v>140</v>
      </c>
      <c r="L43" s="6"/>
      <c r="M43" s="6"/>
      <c r="N43" s="7">
        <f t="shared" si="5"/>
        <v>1480</v>
      </c>
    </row>
    <row r="44" spans="1:14" x14ac:dyDescent="0.3">
      <c r="A44" s="5" t="s">
        <v>60</v>
      </c>
      <c r="B44" s="7">
        <f>0</f>
        <v>0</v>
      </c>
      <c r="C44" s="6"/>
      <c r="D44" s="7">
        <f>7480</f>
        <v>7480</v>
      </c>
      <c r="E44" s="7">
        <f>3300</f>
        <v>3300</v>
      </c>
      <c r="F44" s="6"/>
      <c r="G44" s="7">
        <f>6600</f>
        <v>6600</v>
      </c>
      <c r="H44" s="7">
        <f>1200</f>
        <v>1200</v>
      </c>
      <c r="I44" s="7">
        <f>10200</f>
        <v>10200</v>
      </c>
      <c r="J44" s="6"/>
      <c r="K44" s="7">
        <f>9000</f>
        <v>9000</v>
      </c>
      <c r="L44" s="6"/>
      <c r="M44" s="7">
        <f>6500</f>
        <v>6500</v>
      </c>
      <c r="N44" s="7">
        <f t="shared" si="5"/>
        <v>44280</v>
      </c>
    </row>
    <row r="45" spans="1:14" x14ac:dyDescent="0.3">
      <c r="A45" s="5" t="s">
        <v>61</v>
      </c>
      <c r="B45" s="7">
        <f>1130.29</f>
        <v>1130.29</v>
      </c>
      <c r="C45" s="7">
        <f>1263.72</f>
        <v>1263.72</v>
      </c>
      <c r="D45" s="7">
        <f>1115.76</f>
        <v>1115.76</v>
      </c>
      <c r="E45" s="7">
        <f>1380.15</f>
        <v>1380.15</v>
      </c>
      <c r="F45" s="7">
        <f>1603.27</f>
        <v>1603.27</v>
      </c>
      <c r="G45" s="7">
        <f>1459.72</f>
        <v>1459.72</v>
      </c>
      <c r="H45" s="7">
        <f>1585.07</f>
        <v>1585.07</v>
      </c>
      <c r="I45" s="7">
        <f>1509.06</f>
        <v>1509.06</v>
      </c>
      <c r="J45" s="7">
        <f>1546.75</f>
        <v>1546.75</v>
      </c>
      <c r="K45" s="7">
        <f>1765.18</f>
        <v>1765.18</v>
      </c>
      <c r="L45" s="7">
        <f>1578.35</f>
        <v>1578.35</v>
      </c>
      <c r="M45" s="7">
        <f>1913.5</f>
        <v>1913.5</v>
      </c>
      <c r="N45" s="7">
        <f t="shared" si="5"/>
        <v>17850.82</v>
      </c>
    </row>
    <row r="46" spans="1:14" x14ac:dyDescent="0.3">
      <c r="A46" s="5" t="s">
        <v>63</v>
      </c>
      <c r="B46" s="7">
        <f>622.14</f>
        <v>622.14</v>
      </c>
      <c r="C46" s="7">
        <f>502.25</f>
        <v>502.25</v>
      </c>
      <c r="D46" s="7">
        <f>902.37</f>
        <v>902.37</v>
      </c>
      <c r="E46" s="7">
        <f>500</f>
        <v>500</v>
      </c>
      <c r="F46" s="7">
        <f>5609.56</f>
        <v>5609.56</v>
      </c>
      <c r="G46" s="7">
        <f>309.13</f>
        <v>309.13</v>
      </c>
      <c r="H46" s="6"/>
      <c r="I46" s="6"/>
      <c r="J46" s="6"/>
      <c r="K46" s="7">
        <f>10</f>
        <v>10</v>
      </c>
      <c r="L46" s="6"/>
      <c r="M46" s="6"/>
      <c r="N46" s="7">
        <f t="shared" si="5"/>
        <v>8455.4499999999989</v>
      </c>
    </row>
    <row r="47" spans="1:14" x14ac:dyDescent="0.3">
      <c r="A47" s="5" t="s">
        <v>64</v>
      </c>
      <c r="B47" s="7">
        <f>52.13</f>
        <v>52.13</v>
      </c>
      <c r="C47" s="6"/>
      <c r="D47" s="7">
        <f>6</f>
        <v>6</v>
      </c>
      <c r="E47" s="7">
        <f>248.13</f>
        <v>248.13</v>
      </c>
      <c r="F47" s="7">
        <f>1222.25</f>
        <v>1222.25</v>
      </c>
      <c r="G47" s="7">
        <f>172.5</f>
        <v>172.5</v>
      </c>
      <c r="H47" s="7">
        <f>449.24</f>
        <v>449.24</v>
      </c>
      <c r="I47" s="7">
        <f>123.63</f>
        <v>123.63</v>
      </c>
      <c r="J47" s="7">
        <f>267.85</f>
        <v>267.85000000000002</v>
      </c>
      <c r="K47" s="7">
        <f>117.24</f>
        <v>117.24</v>
      </c>
      <c r="L47" s="7">
        <f>161.01</f>
        <v>161.01</v>
      </c>
      <c r="M47" s="7">
        <f>145.88</f>
        <v>145.88</v>
      </c>
      <c r="N47" s="7">
        <f t="shared" si="5"/>
        <v>2965.8599999999997</v>
      </c>
    </row>
    <row r="48" spans="1:14" x14ac:dyDescent="0.3">
      <c r="A48" s="5" t="s">
        <v>65</v>
      </c>
      <c r="B48" s="7">
        <f>172.17</f>
        <v>172.17</v>
      </c>
      <c r="C48" s="7">
        <f>232.29</f>
        <v>232.29</v>
      </c>
      <c r="D48" s="7">
        <f>161.7</f>
        <v>161.69999999999999</v>
      </c>
      <c r="E48" s="7">
        <f>412.52</f>
        <v>412.52</v>
      </c>
      <c r="F48" s="7">
        <f>302.62</f>
        <v>302.62</v>
      </c>
      <c r="G48" s="7">
        <f>402.93</f>
        <v>402.93</v>
      </c>
      <c r="H48" s="7">
        <f>188.64</f>
        <v>188.64</v>
      </c>
      <c r="I48" s="7">
        <f>75.44</f>
        <v>75.44</v>
      </c>
      <c r="J48" s="7">
        <f>112.29</f>
        <v>112.29</v>
      </c>
      <c r="K48" s="7">
        <f>100</f>
        <v>100</v>
      </c>
      <c r="L48" s="7">
        <f>88.2</f>
        <v>88.2</v>
      </c>
      <c r="M48" s="7">
        <f>95.21</f>
        <v>95.21</v>
      </c>
      <c r="N48" s="7">
        <f t="shared" si="5"/>
        <v>2344.0099999999998</v>
      </c>
    </row>
    <row r="49" spans="1:14" x14ac:dyDescent="0.3">
      <c r="A49" s="5" t="s">
        <v>66</v>
      </c>
      <c r="B49" s="8">
        <f t="shared" ref="B49:M49" si="9">(B47)+(B48)</f>
        <v>224.29999999999998</v>
      </c>
      <c r="C49" s="8">
        <f t="shared" si="9"/>
        <v>232.29</v>
      </c>
      <c r="D49" s="8">
        <f t="shared" si="9"/>
        <v>167.7</v>
      </c>
      <c r="E49" s="8">
        <f t="shared" si="9"/>
        <v>660.65</v>
      </c>
      <c r="F49" s="8">
        <f t="shared" si="9"/>
        <v>1524.87</v>
      </c>
      <c r="G49" s="8">
        <f t="shared" si="9"/>
        <v>575.43000000000006</v>
      </c>
      <c r="H49" s="8">
        <f t="shared" si="9"/>
        <v>637.88</v>
      </c>
      <c r="I49" s="8">
        <f t="shared" si="9"/>
        <v>199.07</v>
      </c>
      <c r="J49" s="8">
        <f t="shared" si="9"/>
        <v>380.14000000000004</v>
      </c>
      <c r="K49" s="8">
        <f t="shared" si="9"/>
        <v>217.24</v>
      </c>
      <c r="L49" s="8">
        <f t="shared" si="9"/>
        <v>249.20999999999998</v>
      </c>
      <c r="M49" s="8">
        <f t="shared" si="9"/>
        <v>241.08999999999997</v>
      </c>
      <c r="N49" s="8">
        <f t="shared" si="5"/>
        <v>5309.87</v>
      </c>
    </row>
    <row r="50" spans="1:14" x14ac:dyDescent="0.3">
      <c r="A50" s="5" t="s">
        <v>67</v>
      </c>
      <c r="B50" s="7">
        <f>349.71</f>
        <v>349.71</v>
      </c>
      <c r="C50" s="7">
        <f>770.92</f>
        <v>770.92</v>
      </c>
      <c r="D50" s="7">
        <f>1154.28</f>
        <v>1154.28</v>
      </c>
      <c r="E50" s="7">
        <f>414.76</f>
        <v>414.76</v>
      </c>
      <c r="F50" s="7">
        <f>496.19</f>
        <v>496.19</v>
      </c>
      <c r="G50" s="7">
        <f>483.53</f>
        <v>483.53</v>
      </c>
      <c r="H50" s="7">
        <f>490.03</f>
        <v>490.03</v>
      </c>
      <c r="I50" s="7">
        <f>772.62</f>
        <v>772.62</v>
      </c>
      <c r="J50" s="7">
        <f>644.57</f>
        <v>644.57000000000005</v>
      </c>
      <c r="K50" s="7">
        <f>860.71</f>
        <v>860.71</v>
      </c>
      <c r="L50" s="7">
        <f>357.96</f>
        <v>357.96</v>
      </c>
      <c r="M50" s="7">
        <f>957.12</f>
        <v>957.12</v>
      </c>
      <c r="N50" s="7">
        <f t="shared" si="5"/>
        <v>7752.4</v>
      </c>
    </row>
    <row r="51" spans="1:14" x14ac:dyDescent="0.3">
      <c r="A51" s="5" t="s">
        <v>68</v>
      </c>
      <c r="B51" s="7">
        <f>2303.73</f>
        <v>2303.73</v>
      </c>
      <c r="C51" s="7">
        <f>2420.66</f>
        <v>2420.66</v>
      </c>
      <c r="D51" s="7">
        <f>2041.63</f>
        <v>2041.63</v>
      </c>
      <c r="E51" s="7">
        <f>2594.64</f>
        <v>2594.64</v>
      </c>
      <c r="F51" s="7">
        <f>1632.46</f>
        <v>1632.46</v>
      </c>
      <c r="G51" s="7">
        <f>1341.1</f>
        <v>1341.1</v>
      </c>
      <c r="H51" s="7">
        <f>1593.68</f>
        <v>1593.68</v>
      </c>
      <c r="I51" s="7">
        <f>2980.53</f>
        <v>2980.53</v>
      </c>
      <c r="J51" s="7">
        <f>2656.83</f>
        <v>2656.83</v>
      </c>
      <c r="K51" s="7">
        <f>2045.04</f>
        <v>2045.04</v>
      </c>
      <c r="L51" s="7">
        <f>2693.53</f>
        <v>2693.53</v>
      </c>
      <c r="M51" s="7">
        <f>1520.41</f>
        <v>1520.41</v>
      </c>
      <c r="N51" s="7">
        <f t="shared" si="5"/>
        <v>25824.240000000002</v>
      </c>
    </row>
    <row r="52" spans="1:14" x14ac:dyDescent="0.3">
      <c r="A52" s="5" t="s">
        <v>69</v>
      </c>
      <c r="B52" s="8">
        <f t="shared" ref="B52:M52" si="10">((((((((((((((B26)+(B27))+(B28))+(B29))+(B30))+(B33))+(B37))+(B42))+(B43))+(B44))+(B45))+(B46))+(B49))+(B50))+(B51)</f>
        <v>5451.08</v>
      </c>
      <c r="C52" s="8">
        <f t="shared" si="10"/>
        <v>6753.37</v>
      </c>
      <c r="D52" s="8">
        <f t="shared" si="10"/>
        <v>14344.900000000001</v>
      </c>
      <c r="E52" s="8">
        <f t="shared" si="10"/>
        <v>15355.759999999998</v>
      </c>
      <c r="F52" s="8">
        <f t="shared" si="10"/>
        <v>13642.510000000002</v>
      </c>
      <c r="G52" s="8">
        <f t="shared" si="10"/>
        <v>13676.79</v>
      </c>
      <c r="H52" s="8">
        <f t="shared" si="10"/>
        <v>14058.53</v>
      </c>
      <c r="I52" s="8">
        <f t="shared" si="10"/>
        <v>23137.989999999998</v>
      </c>
      <c r="J52" s="8">
        <f t="shared" si="10"/>
        <v>15015.47</v>
      </c>
      <c r="K52" s="8">
        <f t="shared" si="10"/>
        <v>19642.86</v>
      </c>
      <c r="L52" s="8">
        <f t="shared" si="10"/>
        <v>7518.7199999999993</v>
      </c>
      <c r="M52" s="8">
        <f t="shared" si="10"/>
        <v>14272.65</v>
      </c>
      <c r="N52" s="8">
        <f t="shared" si="5"/>
        <v>162870.63</v>
      </c>
    </row>
    <row r="53" spans="1:14" x14ac:dyDescent="0.3">
      <c r="A53" s="5" t="s">
        <v>71</v>
      </c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7">
        <f t="shared" si="5"/>
        <v>0</v>
      </c>
    </row>
    <row r="54" spans="1:14" x14ac:dyDescent="0.3">
      <c r="A54" s="5" t="s">
        <v>72</v>
      </c>
      <c r="B54" s="7">
        <f>1214.64</f>
        <v>1214.6400000000001</v>
      </c>
      <c r="C54" s="7">
        <f>1216.46</f>
        <v>1216.46</v>
      </c>
      <c r="D54" s="7">
        <f>1561.56</f>
        <v>1561.56</v>
      </c>
      <c r="E54" s="7">
        <f>1082.74</f>
        <v>1082.74</v>
      </c>
      <c r="F54" s="7">
        <f>1498.76</f>
        <v>1498.76</v>
      </c>
      <c r="G54" s="7">
        <f>2240.28</f>
        <v>2240.2800000000002</v>
      </c>
      <c r="H54" s="7">
        <f>1466.07</f>
        <v>1466.07</v>
      </c>
      <c r="I54" s="7">
        <f>670.06</f>
        <v>670.06</v>
      </c>
      <c r="J54" s="7">
        <f>483.07</f>
        <v>483.07</v>
      </c>
      <c r="K54" s="7">
        <f>491.93</f>
        <v>491.93</v>
      </c>
      <c r="L54" s="7">
        <f>370.45</f>
        <v>370.45</v>
      </c>
      <c r="M54" s="7">
        <f>302</f>
        <v>302</v>
      </c>
      <c r="N54" s="7">
        <f t="shared" si="5"/>
        <v>12598.02</v>
      </c>
    </row>
    <row r="55" spans="1:14" x14ac:dyDescent="0.3">
      <c r="A55" s="5" t="s">
        <v>73</v>
      </c>
      <c r="B55" s="7">
        <f>50</f>
        <v>50</v>
      </c>
      <c r="C55" s="7">
        <f>0.55</f>
        <v>0.55000000000000004</v>
      </c>
      <c r="D55" s="6"/>
      <c r="E55" s="6"/>
      <c r="F55" s="6"/>
      <c r="G55" s="6"/>
      <c r="H55" s="6"/>
      <c r="I55" s="6"/>
      <c r="J55" s="6"/>
      <c r="K55" s="6"/>
      <c r="L55" s="7">
        <f>102.4</f>
        <v>102.4</v>
      </c>
      <c r="M55" s="7">
        <f>293.73</f>
        <v>293.73</v>
      </c>
      <c r="N55" s="7">
        <f t="shared" si="5"/>
        <v>446.68</v>
      </c>
    </row>
    <row r="56" spans="1:14" x14ac:dyDescent="0.3">
      <c r="A56" s="5" t="s">
        <v>74</v>
      </c>
      <c r="B56" s="7">
        <f>62</f>
        <v>62</v>
      </c>
      <c r="C56" s="6"/>
      <c r="D56" s="6"/>
      <c r="E56" s="7">
        <f>24</f>
        <v>24</v>
      </c>
      <c r="F56" s="7">
        <f>27</f>
        <v>27</v>
      </c>
      <c r="G56" s="7">
        <f>12</f>
        <v>12</v>
      </c>
      <c r="H56" s="6"/>
      <c r="I56" s="7">
        <f>12</f>
        <v>12</v>
      </c>
      <c r="J56" s="7">
        <f>27</f>
        <v>27</v>
      </c>
      <c r="K56" s="7">
        <f>9</f>
        <v>9</v>
      </c>
      <c r="L56" s="6"/>
      <c r="M56" s="7">
        <f>30</f>
        <v>30</v>
      </c>
      <c r="N56" s="7">
        <f t="shared" si="5"/>
        <v>203</v>
      </c>
    </row>
    <row r="57" spans="1:14" x14ac:dyDescent="0.3">
      <c r="A57" s="5" t="s">
        <v>75</v>
      </c>
      <c r="B57" s="7">
        <f>49866.08</f>
        <v>49866.080000000002</v>
      </c>
      <c r="C57" s="7">
        <f>39063.25</f>
        <v>39063.25</v>
      </c>
      <c r="D57" s="7">
        <f>44488.49</f>
        <v>44488.49</v>
      </c>
      <c r="E57" s="7">
        <f>41870.95</f>
        <v>41870.949999999997</v>
      </c>
      <c r="F57" s="7">
        <f>47318.11</f>
        <v>47318.11</v>
      </c>
      <c r="G57" s="7">
        <f>46544.98</f>
        <v>46544.98</v>
      </c>
      <c r="H57" s="7">
        <f>59479.71</f>
        <v>59479.71</v>
      </c>
      <c r="I57" s="7">
        <f>77114.54</f>
        <v>77114.539999999994</v>
      </c>
      <c r="J57" s="7">
        <f>78183.02</f>
        <v>78183.02</v>
      </c>
      <c r="K57" s="7">
        <f>77576.18</f>
        <v>77576.179999999993</v>
      </c>
      <c r="L57" s="7">
        <f>81760.29</f>
        <v>81760.289999999994</v>
      </c>
      <c r="M57" s="7">
        <f>82439.52</f>
        <v>82439.520000000004</v>
      </c>
      <c r="N57" s="7">
        <f t="shared" si="5"/>
        <v>725705.12000000011</v>
      </c>
    </row>
    <row r="58" spans="1:14" x14ac:dyDescent="0.3">
      <c r="A58" s="5" t="s">
        <v>76</v>
      </c>
      <c r="B58" s="7">
        <f>3146.94</f>
        <v>3146.94</v>
      </c>
      <c r="C58" s="7">
        <f>248.2</f>
        <v>248.2</v>
      </c>
      <c r="D58" s="7">
        <f>1080.44</f>
        <v>1080.44</v>
      </c>
      <c r="E58" s="7">
        <f>250.22</f>
        <v>250.22</v>
      </c>
      <c r="F58" s="7">
        <f>666.95</f>
        <v>666.95</v>
      </c>
      <c r="G58" s="7">
        <f>417.95</f>
        <v>417.95</v>
      </c>
      <c r="H58" s="7">
        <f>880.78</f>
        <v>880.78</v>
      </c>
      <c r="I58" s="7">
        <f>249.95</f>
        <v>249.95</v>
      </c>
      <c r="J58" s="7">
        <f>420.07</f>
        <v>420.07</v>
      </c>
      <c r="K58" s="7">
        <f>221.07</f>
        <v>221.07</v>
      </c>
      <c r="L58" s="7">
        <f>1555.19</f>
        <v>1555.19</v>
      </c>
      <c r="M58" s="7">
        <f>453.95</f>
        <v>453.95</v>
      </c>
      <c r="N58" s="7">
        <f t="shared" si="5"/>
        <v>9591.7099999999991</v>
      </c>
    </row>
    <row r="59" spans="1:14" x14ac:dyDescent="0.3">
      <c r="A59" s="5" t="s">
        <v>78</v>
      </c>
      <c r="B59" s="6"/>
      <c r="C59" s="6"/>
      <c r="D59" s="6"/>
      <c r="E59" s="6"/>
      <c r="F59" s="6"/>
      <c r="G59" s="6"/>
      <c r="H59" s="7">
        <f>157.85</f>
        <v>157.85</v>
      </c>
      <c r="I59" s="7">
        <f>530.44</f>
        <v>530.44000000000005</v>
      </c>
      <c r="J59" s="7">
        <f>203.96</f>
        <v>203.96</v>
      </c>
      <c r="K59" s="6"/>
      <c r="L59" s="6"/>
      <c r="M59" s="6"/>
      <c r="N59" s="7">
        <f t="shared" si="5"/>
        <v>892.25000000000011</v>
      </c>
    </row>
    <row r="60" spans="1:14" x14ac:dyDescent="0.3">
      <c r="A60" s="5" t="s">
        <v>79</v>
      </c>
      <c r="B60" s="6"/>
      <c r="C60" s="6"/>
      <c r="D60" s="7">
        <f>7.98</f>
        <v>7.98</v>
      </c>
      <c r="E60" s="6"/>
      <c r="F60" s="7">
        <f>22.94</f>
        <v>22.94</v>
      </c>
      <c r="G60" s="7">
        <f>39.9</f>
        <v>39.9</v>
      </c>
      <c r="H60" s="7">
        <f>47.88</f>
        <v>47.88</v>
      </c>
      <c r="I60" s="7">
        <f>15.96</f>
        <v>15.96</v>
      </c>
      <c r="J60" s="7">
        <f>3.99</f>
        <v>3.99</v>
      </c>
      <c r="K60" s="7">
        <f>7.98</f>
        <v>7.98</v>
      </c>
      <c r="L60" s="7">
        <f>3.99</f>
        <v>3.99</v>
      </c>
      <c r="M60" s="7">
        <f>7.18</f>
        <v>7.18</v>
      </c>
      <c r="N60" s="7">
        <f t="shared" si="5"/>
        <v>157.80000000000001</v>
      </c>
    </row>
    <row r="61" spans="1:14" x14ac:dyDescent="0.3">
      <c r="A61" s="5" t="s">
        <v>80</v>
      </c>
      <c r="B61" s="7">
        <f>3800</f>
        <v>3800</v>
      </c>
      <c r="C61" s="7">
        <f>3350</f>
        <v>3350</v>
      </c>
      <c r="D61" s="7">
        <f>4200</f>
        <v>4200</v>
      </c>
      <c r="E61" s="7">
        <f>3850</f>
        <v>3850</v>
      </c>
      <c r="F61" s="7">
        <f>3950</f>
        <v>3950</v>
      </c>
      <c r="G61" s="7">
        <f>3450</f>
        <v>3450</v>
      </c>
      <c r="H61" s="7">
        <f>3800</f>
        <v>3800</v>
      </c>
      <c r="I61" s="7">
        <f>4400</f>
        <v>4400</v>
      </c>
      <c r="J61" s="7">
        <f>4700</f>
        <v>4700</v>
      </c>
      <c r="K61" s="7">
        <f>6800</f>
        <v>6800</v>
      </c>
      <c r="L61" s="7">
        <f>6250</f>
        <v>6250</v>
      </c>
      <c r="M61" s="7">
        <f>5000</f>
        <v>5000</v>
      </c>
      <c r="N61" s="7">
        <f t="shared" si="5"/>
        <v>53550</v>
      </c>
    </row>
    <row r="62" spans="1:14" x14ac:dyDescent="0.3">
      <c r="A62" s="5" t="s">
        <v>81</v>
      </c>
      <c r="B62" s="7">
        <f>50.42</f>
        <v>50.42</v>
      </c>
      <c r="C62" s="7">
        <f>146.9</f>
        <v>146.9</v>
      </c>
      <c r="D62" s="7">
        <f>203.26</f>
        <v>203.26</v>
      </c>
      <c r="E62" s="7">
        <f>229.17</f>
        <v>229.17</v>
      </c>
      <c r="F62" s="7">
        <f>290.87</f>
        <v>290.87</v>
      </c>
      <c r="G62" s="7">
        <f>286.27</f>
        <v>286.27</v>
      </c>
      <c r="H62" s="7">
        <f>267.13</f>
        <v>267.13</v>
      </c>
      <c r="I62" s="7">
        <f>312.58</f>
        <v>312.58</v>
      </c>
      <c r="J62" s="7">
        <f>336.95</f>
        <v>336.95</v>
      </c>
      <c r="K62" s="7">
        <f>321.34</f>
        <v>321.33999999999997</v>
      </c>
      <c r="L62" s="7">
        <f>338.06</f>
        <v>338.06</v>
      </c>
      <c r="M62" s="7">
        <f>298.27</f>
        <v>298.27</v>
      </c>
      <c r="N62" s="7">
        <f t="shared" si="5"/>
        <v>3081.22</v>
      </c>
    </row>
    <row r="63" spans="1:14" x14ac:dyDescent="0.3">
      <c r="A63" s="5" t="s">
        <v>82</v>
      </c>
      <c r="B63" s="8">
        <f t="shared" ref="B63:M63" si="11">(((((((((B53)+(B54))+(B55))+(B56))+(B57))+(B58))+(B59))+(B60))+(B61))+(B62)</f>
        <v>58190.080000000002</v>
      </c>
      <c r="C63" s="8">
        <f t="shared" si="11"/>
        <v>44025.36</v>
      </c>
      <c r="D63" s="8">
        <f t="shared" si="11"/>
        <v>51541.73</v>
      </c>
      <c r="E63" s="8">
        <f t="shared" si="11"/>
        <v>47307.079999999994</v>
      </c>
      <c r="F63" s="8">
        <f t="shared" si="11"/>
        <v>53774.630000000005</v>
      </c>
      <c r="G63" s="8">
        <f t="shared" si="11"/>
        <v>52991.38</v>
      </c>
      <c r="H63" s="8">
        <f t="shared" si="11"/>
        <v>66099.42</v>
      </c>
      <c r="I63" s="8">
        <f t="shared" si="11"/>
        <v>83305.53</v>
      </c>
      <c r="J63" s="8">
        <f t="shared" si="11"/>
        <v>84358.060000000027</v>
      </c>
      <c r="K63" s="8">
        <f t="shared" si="11"/>
        <v>85427.499999999985</v>
      </c>
      <c r="L63" s="8">
        <f t="shared" si="11"/>
        <v>90380.38</v>
      </c>
      <c r="M63" s="8">
        <f t="shared" si="11"/>
        <v>88824.65</v>
      </c>
      <c r="N63" s="8">
        <f t="shared" si="5"/>
        <v>806225.8</v>
      </c>
    </row>
    <row r="64" spans="1:14" x14ac:dyDescent="0.3">
      <c r="A64" s="5" t="s">
        <v>83</v>
      </c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7">
        <f t="shared" si="5"/>
        <v>0</v>
      </c>
    </row>
    <row r="65" spans="1:14" x14ac:dyDescent="0.3">
      <c r="A65" s="5" t="s">
        <v>84</v>
      </c>
      <c r="B65" s="6"/>
      <c r="C65" s="6"/>
      <c r="D65" s="7">
        <f>2475.65</f>
        <v>2475.65</v>
      </c>
      <c r="E65" s="7">
        <f>1846.03</f>
        <v>1846.03</v>
      </c>
      <c r="F65" s="7">
        <f>2334.18</f>
        <v>2334.1799999999998</v>
      </c>
      <c r="G65" s="7">
        <f>2334.18</f>
        <v>2334.1799999999998</v>
      </c>
      <c r="H65" s="7">
        <f>2486.34</f>
        <v>2486.34</v>
      </c>
      <c r="I65" s="7">
        <f>2585.16</f>
        <v>2585.16</v>
      </c>
      <c r="J65" s="7">
        <f>2235.31</f>
        <v>2235.31</v>
      </c>
      <c r="K65" s="7">
        <f>2129.88</f>
        <v>2129.88</v>
      </c>
      <c r="L65" s="7">
        <f>2609.13</f>
        <v>2609.13</v>
      </c>
      <c r="M65" s="7">
        <f>6297.27</f>
        <v>6297.27</v>
      </c>
      <c r="N65" s="7">
        <f t="shared" si="5"/>
        <v>27333.13</v>
      </c>
    </row>
    <row r="66" spans="1:14" x14ac:dyDescent="0.3">
      <c r="A66" s="5" t="s">
        <v>85</v>
      </c>
      <c r="B66" s="7">
        <f>93.6</f>
        <v>93.6</v>
      </c>
      <c r="C66" s="7">
        <f>98.4</f>
        <v>98.4</v>
      </c>
      <c r="D66" s="7">
        <f>108</f>
        <v>108</v>
      </c>
      <c r="E66" s="7">
        <f>112.8</f>
        <v>112.8</v>
      </c>
      <c r="F66" s="7">
        <f>127.2</f>
        <v>127.2</v>
      </c>
      <c r="G66" s="7">
        <f>141.6</f>
        <v>141.6</v>
      </c>
      <c r="H66" s="7">
        <f>136.8</f>
        <v>136.80000000000001</v>
      </c>
      <c r="I66" s="7">
        <f>141.6</f>
        <v>141.6</v>
      </c>
      <c r="J66" s="7">
        <f>221.4</f>
        <v>221.4</v>
      </c>
      <c r="K66" s="7">
        <f>291.6</f>
        <v>291.60000000000002</v>
      </c>
      <c r="L66" s="7">
        <f>151.2</f>
        <v>151.19999999999999</v>
      </c>
      <c r="M66" s="7">
        <f>151.2</f>
        <v>151.19999999999999</v>
      </c>
      <c r="N66" s="7">
        <f t="shared" si="5"/>
        <v>1775.4</v>
      </c>
    </row>
    <row r="67" spans="1:14" x14ac:dyDescent="0.3">
      <c r="A67" s="5" t="s">
        <v>86</v>
      </c>
      <c r="B67" s="7">
        <f>2336.9</f>
        <v>2336.9</v>
      </c>
      <c r="C67" s="7">
        <f>3022.4</f>
        <v>3022.4</v>
      </c>
      <c r="D67" s="7">
        <f>3122.8</f>
        <v>3122.8</v>
      </c>
      <c r="E67" s="7">
        <f>4748.99</f>
        <v>4748.99</v>
      </c>
      <c r="F67" s="7">
        <f>3691.6</f>
        <v>3691.6</v>
      </c>
      <c r="G67" s="7">
        <f>3208.06</f>
        <v>3208.06</v>
      </c>
      <c r="H67" s="7">
        <f>3446.32</f>
        <v>3446.32</v>
      </c>
      <c r="I67" s="7">
        <f>3760.6</f>
        <v>3760.6</v>
      </c>
      <c r="J67" s="7">
        <f>3670.92</f>
        <v>3670.92</v>
      </c>
      <c r="K67" s="7">
        <f>3911.52</f>
        <v>3911.52</v>
      </c>
      <c r="L67" s="7">
        <f>5950.42</f>
        <v>5950.42</v>
      </c>
      <c r="M67" s="7">
        <f>3860.08</f>
        <v>3860.08</v>
      </c>
      <c r="N67" s="7">
        <f t="shared" si="5"/>
        <v>44730.609999999993</v>
      </c>
    </row>
    <row r="68" spans="1:14" x14ac:dyDescent="0.3">
      <c r="A68" s="5" t="s">
        <v>87</v>
      </c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7">
        <f t="shared" si="5"/>
        <v>0</v>
      </c>
    </row>
    <row r="69" spans="1:14" x14ac:dyDescent="0.3">
      <c r="A69" s="5" t="s">
        <v>88</v>
      </c>
      <c r="B69" s="7">
        <f>9519.24</f>
        <v>9519.24</v>
      </c>
      <c r="C69" s="7">
        <f>12596.16</f>
        <v>12596.16</v>
      </c>
      <c r="D69" s="7">
        <f>14996.16</f>
        <v>14996.16</v>
      </c>
      <c r="E69" s="7">
        <f>22061.74</f>
        <v>22061.74</v>
      </c>
      <c r="F69" s="7">
        <f>14448.66</f>
        <v>14448.66</v>
      </c>
      <c r="G69" s="7">
        <f>16281.74</f>
        <v>16281.74</v>
      </c>
      <c r="H69" s="7">
        <f>18824.27</f>
        <v>18824.27</v>
      </c>
      <c r="I69" s="7">
        <f>18092.32</f>
        <v>18092.32</v>
      </c>
      <c r="J69" s="7">
        <f>18092.32</f>
        <v>18092.32</v>
      </c>
      <c r="K69" s="7">
        <f>18062.32</f>
        <v>18062.32</v>
      </c>
      <c r="L69" s="7">
        <f>26065.48</f>
        <v>26065.48</v>
      </c>
      <c r="M69" s="7">
        <f>15692.32</f>
        <v>15692.32</v>
      </c>
      <c r="N69" s="7">
        <f t="shared" si="5"/>
        <v>204732.73000000004</v>
      </c>
    </row>
    <row r="70" spans="1:14" x14ac:dyDescent="0.3">
      <c r="A70" s="5" t="s">
        <v>89</v>
      </c>
      <c r="B70" s="7">
        <f>107.74</f>
        <v>107.74</v>
      </c>
      <c r="C70" s="7">
        <f>3040</f>
        <v>3040</v>
      </c>
      <c r="D70" s="7">
        <f>4182.61</f>
        <v>4182.6099999999997</v>
      </c>
      <c r="E70" s="7">
        <f>13023</f>
        <v>13023</v>
      </c>
      <c r="F70" s="7">
        <f>5520</f>
        <v>5520</v>
      </c>
      <c r="G70" s="7">
        <f>8303.22</f>
        <v>8303.2199999999993</v>
      </c>
      <c r="H70" s="7">
        <f>10092.12</f>
        <v>10092.120000000001</v>
      </c>
      <c r="I70" s="7">
        <f>11209.92</f>
        <v>11209.92</v>
      </c>
      <c r="J70" s="7">
        <f>9051.86</f>
        <v>9051.86</v>
      </c>
      <c r="K70" s="7">
        <f>15029.45</f>
        <v>15029.45</v>
      </c>
      <c r="L70" s="7">
        <f>17210.93</f>
        <v>17210.93</v>
      </c>
      <c r="M70" s="7">
        <f>13689.89</f>
        <v>13689.89</v>
      </c>
      <c r="N70" s="7">
        <f t="shared" si="5"/>
        <v>110460.74</v>
      </c>
    </row>
    <row r="71" spans="1:14" x14ac:dyDescent="0.3">
      <c r="A71" s="5" t="s">
        <v>91</v>
      </c>
      <c r="B71" s="8">
        <f t="shared" ref="B71:M71" si="12">(B69)+(B70)</f>
        <v>9626.98</v>
      </c>
      <c r="C71" s="8">
        <f t="shared" si="12"/>
        <v>15636.16</v>
      </c>
      <c r="D71" s="8">
        <f t="shared" si="12"/>
        <v>19178.77</v>
      </c>
      <c r="E71" s="8">
        <f t="shared" si="12"/>
        <v>35084.740000000005</v>
      </c>
      <c r="F71" s="8">
        <f t="shared" si="12"/>
        <v>19968.66</v>
      </c>
      <c r="G71" s="8">
        <f t="shared" si="12"/>
        <v>24584.959999999999</v>
      </c>
      <c r="H71" s="8">
        <f t="shared" si="12"/>
        <v>28916.39</v>
      </c>
      <c r="I71" s="8">
        <f t="shared" si="12"/>
        <v>29302.239999999998</v>
      </c>
      <c r="J71" s="8">
        <f t="shared" si="12"/>
        <v>27144.18</v>
      </c>
      <c r="K71" s="8">
        <f t="shared" si="12"/>
        <v>33091.770000000004</v>
      </c>
      <c r="L71" s="8">
        <f t="shared" si="12"/>
        <v>43276.41</v>
      </c>
      <c r="M71" s="8">
        <f t="shared" si="12"/>
        <v>29382.21</v>
      </c>
      <c r="N71" s="8">
        <f t="shared" si="5"/>
        <v>315193.47000000003</v>
      </c>
    </row>
    <row r="72" spans="1:14" x14ac:dyDescent="0.3">
      <c r="A72" s="5" t="s">
        <v>92</v>
      </c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7">
        <f t="shared" si="5"/>
        <v>0</v>
      </c>
    </row>
    <row r="73" spans="1:14" x14ac:dyDescent="0.3">
      <c r="A73" s="5" t="s">
        <v>93</v>
      </c>
      <c r="B73" s="6"/>
      <c r="C73" s="6"/>
      <c r="D73" s="6"/>
      <c r="E73" s="6"/>
      <c r="F73" s="6"/>
      <c r="G73" s="7">
        <f>1316</f>
        <v>1316</v>
      </c>
      <c r="H73" s="7">
        <f>1327</f>
        <v>1327</v>
      </c>
      <c r="I73" s="7">
        <f>1798</f>
        <v>1798</v>
      </c>
      <c r="J73" s="7">
        <f>1533.25</f>
        <v>1533.25</v>
      </c>
      <c r="K73" s="7">
        <f>1904.5</f>
        <v>1904.5</v>
      </c>
      <c r="L73" s="7">
        <f>1431</f>
        <v>1431</v>
      </c>
      <c r="M73" s="7">
        <f>1637</f>
        <v>1637</v>
      </c>
      <c r="N73" s="7">
        <f t="shared" si="5"/>
        <v>10946.75</v>
      </c>
    </row>
    <row r="74" spans="1:14" x14ac:dyDescent="0.3">
      <c r="A74" s="5" t="s">
        <v>94</v>
      </c>
      <c r="B74" s="8">
        <f t="shared" ref="B74:M74" si="13">(B72)+(B73)</f>
        <v>0</v>
      </c>
      <c r="C74" s="8">
        <f t="shared" si="13"/>
        <v>0</v>
      </c>
      <c r="D74" s="8">
        <f t="shared" si="13"/>
        <v>0</v>
      </c>
      <c r="E74" s="8">
        <f t="shared" si="13"/>
        <v>0</v>
      </c>
      <c r="F74" s="8">
        <f t="shared" si="13"/>
        <v>0</v>
      </c>
      <c r="G74" s="8">
        <f t="shared" si="13"/>
        <v>1316</v>
      </c>
      <c r="H74" s="8">
        <f t="shared" si="13"/>
        <v>1327</v>
      </c>
      <c r="I74" s="8">
        <f t="shared" si="13"/>
        <v>1798</v>
      </c>
      <c r="J74" s="8">
        <f t="shared" si="13"/>
        <v>1533.25</v>
      </c>
      <c r="K74" s="8">
        <f t="shared" si="13"/>
        <v>1904.5</v>
      </c>
      <c r="L74" s="8">
        <f t="shared" si="13"/>
        <v>1431</v>
      </c>
      <c r="M74" s="8">
        <f t="shared" si="13"/>
        <v>1637</v>
      </c>
      <c r="N74" s="8">
        <f t="shared" si="5"/>
        <v>10946.75</v>
      </c>
    </row>
    <row r="75" spans="1:14" x14ac:dyDescent="0.3">
      <c r="A75" s="5" t="s">
        <v>95</v>
      </c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7">
        <f t="shared" si="5"/>
        <v>0</v>
      </c>
    </row>
    <row r="76" spans="1:14" x14ac:dyDescent="0.3">
      <c r="A76" s="5" t="s">
        <v>89</v>
      </c>
      <c r="B76" s="6"/>
      <c r="C76" s="6"/>
      <c r="D76" s="6"/>
      <c r="E76" s="6"/>
      <c r="F76" s="6"/>
      <c r="G76" s="7">
        <f>1803</f>
        <v>1803</v>
      </c>
      <c r="H76" s="7">
        <f>1421.18</f>
        <v>1421.18</v>
      </c>
      <c r="I76" s="7">
        <f>1862.42</f>
        <v>1862.42</v>
      </c>
      <c r="J76" s="7">
        <f>1459.06</f>
        <v>1459.06</v>
      </c>
      <c r="K76" s="7">
        <f>1925.79</f>
        <v>1925.79</v>
      </c>
      <c r="L76" s="7">
        <f>1624.77</f>
        <v>1624.77</v>
      </c>
      <c r="M76" s="7">
        <f>1417.39</f>
        <v>1417.39</v>
      </c>
      <c r="N76" s="7">
        <f t="shared" si="5"/>
        <v>11513.61</v>
      </c>
    </row>
    <row r="77" spans="1:14" x14ac:dyDescent="0.3">
      <c r="A77" s="5" t="s">
        <v>96</v>
      </c>
      <c r="B77" s="8">
        <f t="shared" ref="B77:M77" si="14">(B75)+(B76)</f>
        <v>0</v>
      </c>
      <c r="C77" s="8">
        <f t="shared" si="14"/>
        <v>0</v>
      </c>
      <c r="D77" s="8">
        <f t="shared" si="14"/>
        <v>0</v>
      </c>
      <c r="E77" s="8">
        <f t="shared" si="14"/>
        <v>0</v>
      </c>
      <c r="F77" s="8">
        <f t="shared" si="14"/>
        <v>0</v>
      </c>
      <c r="G77" s="8">
        <f t="shared" si="14"/>
        <v>1803</v>
      </c>
      <c r="H77" s="8">
        <f t="shared" si="14"/>
        <v>1421.18</v>
      </c>
      <c r="I77" s="8">
        <f t="shared" si="14"/>
        <v>1862.42</v>
      </c>
      <c r="J77" s="8">
        <f t="shared" si="14"/>
        <v>1459.06</v>
      </c>
      <c r="K77" s="8">
        <f t="shared" si="14"/>
        <v>1925.79</v>
      </c>
      <c r="L77" s="8">
        <f t="shared" si="14"/>
        <v>1624.77</v>
      </c>
      <c r="M77" s="8">
        <f t="shared" si="14"/>
        <v>1417.39</v>
      </c>
      <c r="N77" s="8">
        <f t="shared" si="5"/>
        <v>11513.61</v>
      </c>
    </row>
    <row r="78" spans="1:14" x14ac:dyDescent="0.3">
      <c r="A78" s="5" t="s">
        <v>132</v>
      </c>
      <c r="B78" s="7">
        <f>10385.78</f>
        <v>10385.780000000001</v>
      </c>
      <c r="C78" s="7">
        <f>9063.57</f>
        <v>9063.57</v>
      </c>
      <c r="D78" s="7">
        <f>8496.58</f>
        <v>8496.58</v>
      </c>
      <c r="E78" s="7">
        <f>6683.65</f>
        <v>6683.65</v>
      </c>
      <c r="F78" s="7">
        <f>7570.82</f>
        <v>7570.82</v>
      </c>
      <c r="G78" s="6"/>
      <c r="H78" s="6"/>
      <c r="I78" s="6"/>
      <c r="J78" s="6"/>
      <c r="K78" s="6"/>
      <c r="L78" s="6"/>
      <c r="M78" s="6"/>
      <c r="N78" s="7">
        <f t="shared" si="5"/>
        <v>42200.4</v>
      </c>
    </row>
    <row r="79" spans="1:14" x14ac:dyDescent="0.3">
      <c r="A79" s="5" t="s">
        <v>97</v>
      </c>
      <c r="B79" s="7">
        <f>11822.16</f>
        <v>11822.16</v>
      </c>
      <c r="C79" s="7">
        <f>15165.67</f>
        <v>15165.67</v>
      </c>
      <c r="D79" s="7">
        <f>17024.06</f>
        <v>17024.060000000001</v>
      </c>
      <c r="E79" s="7">
        <f>28386.98</f>
        <v>28386.98</v>
      </c>
      <c r="F79" s="7">
        <f>26180.28</f>
        <v>26180.28</v>
      </c>
      <c r="G79" s="7">
        <f>21348.01</f>
        <v>21348.01</v>
      </c>
      <c r="H79" s="7">
        <f>22018.31</f>
        <v>22018.31</v>
      </c>
      <c r="I79" s="7">
        <f>25202.36</f>
        <v>25202.36</v>
      </c>
      <c r="J79" s="7">
        <f>24022.82</f>
        <v>24022.82</v>
      </c>
      <c r="K79" s="7">
        <f>27525.68</f>
        <v>27525.68</v>
      </c>
      <c r="L79" s="7">
        <f>44504.52</f>
        <v>44504.52</v>
      </c>
      <c r="M79" s="7">
        <f>30615.98</f>
        <v>30615.98</v>
      </c>
      <c r="N79" s="7">
        <f t="shared" si="5"/>
        <v>293816.83</v>
      </c>
    </row>
    <row r="80" spans="1:14" x14ac:dyDescent="0.3">
      <c r="A80" s="5" t="s">
        <v>89</v>
      </c>
      <c r="B80" s="7">
        <f>662.12</f>
        <v>662.12</v>
      </c>
      <c r="C80" s="7">
        <f>1680</f>
        <v>1680</v>
      </c>
      <c r="D80" s="7">
        <f>990</f>
        <v>990</v>
      </c>
      <c r="E80" s="7">
        <f>1113</f>
        <v>1113</v>
      </c>
      <c r="F80" s="6"/>
      <c r="G80" s="7">
        <f>1204</f>
        <v>1204</v>
      </c>
      <c r="H80" s="7">
        <f>2680</f>
        <v>2680</v>
      </c>
      <c r="I80" s="7">
        <f>1640</f>
        <v>1640</v>
      </c>
      <c r="J80" s="7">
        <f>1742</f>
        <v>1742</v>
      </c>
      <c r="K80" s="7">
        <f>1244</f>
        <v>1244</v>
      </c>
      <c r="L80" s="6"/>
      <c r="M80" s="6"/>
      <c r="N80" s="7">
        <f t="shared" si="5"/>
        <v>12955.119999999999</v>
      </c>
    </row>
    <row r="81" spans="1:14" x14ac:dyDescent="0.3">
      <c r="A81" s="5" t="s">
        <v>98</v>
      </c>
      <c r="B81" s="8">
        <f t="shared" ref="B81:M81" si="15">(B79)+(B80)</f>
        <v>12484.28</v>
      </c>
      <c r="C81" s="8">
        <f t="shared" si="15"/>
        <v>16845.669999999998</v>
      </c>
      <c r="D81" s="8">
        <f t="shared" si="15"/>
        <v>18014.060000000001</v>
      </c>
      <c r="E81" s="8">
        <f t="shared" si="15"/>
        <v>29499.98</v>
      </c>
      <c r="F81" s="8">
        <f t="shared" si="15"/>
        <v>26180.28</v>
      </c>
      <c r="G81" s="8">
        <f t="shared" si="15"/>
        <v>22552.01</v>
      </c>
      <c r="H81" s="8">
        <f t="shared" si="15"/>
        <v>24698.31</v>
      </c>
      <c r="I81" s="8">
        <f t="shared" si="15"/>
        <v>26842.36</v>
      </c>
      <c r="J81" s="8">
        <f t="shared" si="15"/>
        <v>25764.82</v>
      </c>
      <c r="K81" s="8">
        <f t="shared" si="15"/>
        <v>28769.68</v>
      </c>
      <c r="L81" s="8">
        <f t="shared" si="15"/>
        <v>44504.52</v>
      </c>
      <c r="M81" s="8">
        <f t="shared" si="15"/>
        <v>30615.98</v>
      </c>
      <c r="N81" s="8">
        <f t="shared" si="5"/>
        <v>306771.95</v>
      </c>
    </row>
    <row r="82" spans="1:14" x14ac:dyDescent="0.3">
      <c r="A82" s="5" t="s">
        <v>99</v>
      </c>
      <c r="B82" s="8">
        <f t="shared" ref="B82:M82" si="16">(((((B68)+(B71))+(B74))+(B77))+(B78))+(B81)</f>
        <v>32497.040000000001</v>
      </c>
      <c r="C82" s="8">
        <f t="shared" si="16"/>
        <v>41545.399999999994</v>
      </c>
      <c r="D82" s="8">
        <f t="shared" si="16"/>
        <v>45689.41</v>
      </c>
      <c r="E82" s="8">
        <f t="shared" si="16"/>
        <v>71268.37000000001</v>
      </c>
      <c r="F82" s="8">
        <f t="shared" si="16"/>
        <v>53719.759999999995</v>
      </c>
      <c r="G82" s="8">
        <f t="shared" si="16"/>
        <v>50255.97</v>
      </c>
      <c r="H82" s="8">
        <f t="shared" si="16"/>
        <v>56362.880000000005</v>
      </c>
      <c r="I82" s="8">
        <f t="shared" si="16"/>
        <v>59805.02</v>
      </c>
      <c r="J82" s="8">
        <f t="shared" si="16"/>
        <v>55901.31</v>
      </c>
      <c r="K82" s="8">
        <f t="shared" si="16"/>
        <v>65691.740000000005</v>
      </c>
      <c r="L82" s="8">
        <f t="shared" si="16"/>
        <v>90836.7</v>
      </c>
      <c r="M82" s="8">
        <f t="shared" si="16"/>
        <v>63052.58</v>
      </c>
      <c r="N82" s="8">
        <f t="shared" si="5"/>
        <v>686626.18</v>
      </c>
    </row>
    <row r="83" spans="1:14" x14ac:dyDescent="0.3">
      <c r="A83" s="5" t="s">
        <v>100</v>
      </c>
      <c r="B83" s="8">
        <f t="shared" ref="B83:M83" si="17">((((B64)+(B65))+(B66))+(B67))+(B82)</f>
        <v>34927.54</v>
      </c>
      <c r="C83" s="8">
        <f t="shared" si="17"/>
        <v>44666.2</v>
      </c>
      <c r="D83" s="8">
        <f t="shared" si="17"/>
        <v>51395.86</v>
      </c>
      <c r="E83" s="8">
        <f t="shared" si="17"/>
        <v>77976.19</v>
      </c>
      <c r="F83" s="8">
        <f t="shared" si="17"/>
        <v>59872.739999999991</v>
      </c>
      <c r="G83" s="8">
        <f t="shared" si="17"/>
        <v>55939.81</v>
      </c>
      <c r="H83" s="8">
        <f t="shared" si="17"/>
        <v>62432.340000000004</v>
      </c>
      <c r="I83" s="8">
        <f t="shared" si="17"/>
        <v>66292.37999999999</v>
      </c>
      <c r="J83" s="8">
        <f t="shared" si="17"/>
        <v>62028.939999999995</v>
      </c>
      <c r="K83" s="8">
        <f t="shared" si="17"/>
        <v>72024.740000000005</v>
      </c>
      <c r="L83" s="8">
        <f t="shared" si="17"/>
        <v>99547.45</v>
      </c>
      <c r="M83" s="8">
        <f t="shared" si="17"/>
        <v>73361.13</v>
      </c>
      <c r="N83" s="8">
        <f t="shared" si="5"/>
        <v>760465.32</v>
      </c>
    </row>
    <row r="84" spans="1:14" x14ac:dyDescent="0.3">
      <c r="A84" s="5" t="s">
        <v>103</v>
      </c>
      <c r="B84" s="8">
        <f t="shared" ref="B84:M84" si="18">((B52)+(B63))+(B83)</f>
        <v>98568.700000000012</v>
      </c>
      <c r="C84" s="8">
        <f t="shared" si="18"/>
        <v>95444.93</v>
      </c>
      <c r="D84" s="8">
        <f t="shared" si="18"/>
        <v>117282.49</v>
      </c>
      <c r="E84" s="8">
        <f t="shared" si="18"/>
        <v>140639.03</v>
      </c>
      <c r="F84" s="8">
        <f t="shared" si="18"/>
        <v>127289.88</v>
      </c>
      <c r="G84" s="8">
        <f t="shared" si="18"/>
        <v>122607.98</v>
      </c>
      <c r="H84" s="8">
        <f t="shared" si="18"/>
        <v>142590.29</v>
      </c>
      <c r="I84" s="8">
        <f t="shared" si="18"/>
        <v>172735.89999999997</v>
      </c>
      <c r="J84" s="8">
        <f t="shared" si="18"/>
        <v>161402.47000000003</v>
      </c>
      <c r="K84" s="8">
        <f t="shared" si="18"/>
        <v>177095.09999999998</v>
      </c>
      <c r="L84" s="8">
        <f t="shared" si="18"/>
        <v>197446.55</v>
      </c>
      <c r="M84" s="8">
        <f t="shared" si="18"/>
        <v>176458.43</v>
      </c>
      <c r="N84" s="8">
        <f t="shared" si="5"/>
        <v>1729561.75</v>
      </c>
    </row>
    <row r="85" spans="1:14" x14ac:dyDescent="0.3">
      <c r="A85" s="5" t="s">
        <v>104</v>
      </c>
      <c r="B85" s="8">
        <f t="shared" ref="B85:M85" si="19">(B24)-(B84)</f>
        <v>-39921.069999999992</v>
      </c>
      <c r="C85" s="8">
        <f t="shared" si="19"/>
        <v>-26884.619999999995</v>
      </c>
      <c r="D85" s="8">
        <f t="shared" si="19"/>
        <v>-900.6200000000099</v>
      </c>
      <c r="E85" s="8">
        <f t="shared" si="19"/>
        <v>-30474.240000000005</v>
      </c>
      <c r="F85" s="8">
        <f t="shared" si="19"/>
        <v>7205.5899999999965</v>
      </c>
      <c r="G85" s="8">
        <f t="shared" si="19"/>
        <v>19534.87000000001</v>
      </c>
      <c r="H85" s="8">
        <f t="shared" si="19"/>
        <v>-13983.089999999997</v>
      </c>
      <c r="I85" s="8">
        <f t="shared" si="19"/>
        <v>6868.9400000000314</v>
      </c>
      <c r="J85" s="8">
        <f t="shared" si="19"/>
        <v>-20287.920000000042</v>
      </c>
      <c r="K85" s="8">
        <f t="shared" si="19"/>
        <v>-61736.149999999994</v>
      </c>
      <c r="L85" s="8">
        <f t="shared" si="19"/>
        <v>6781.7600000000093</v>
      </c>
      <c r="M85" s="8">
        <f t="shared" si="19"/>
        <v>-34710.179999999993</v>
      </c>
      <c r="N85" s="8">
        <f t="shared" si="5"/>
        <v>-188506.72999999998</v>
      </c>
    </row>
    <row r="86" spans="1:14" x14ac:dyDescent="0.3">
      <c r="A86" s="5" t="s">
        <v>108</v>
      </c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</row>
    <row r="87" spans="1:14" x14ac:dyDescent="0.3">
      <c r="A87" s="5" t="s">
        <v>109</v>
      </c>
      <c r="B87" s="6"/>
      <c r="C87" s="6"/>
      <c r="D87" s="6"/>
      <c r="E87" s="6"/>
      <c r="F87" s="6"/>
      <c r="G87" s="6"/>
      <c r="H87" s="6"/>
      <c r="I87" s="6"/>
      <c r="J87" s="6"/>
      <c r="K87" s="7">
        <f>2.88</f>
        <v>2.88</v>
      </c>
      <c r="L87" s="6"/>
      <c r="M87" s="6"/>
      <c r="N87" s="7">
        <f t="shared" ref="N87:N96" si="20">(((((((((((B87)+(C87))+(D87))+(E87))+(F87))+(G87))+(H87))+(I87))+(J87))+(K87))+(L87))+(M87)</f>
        <v>2.88</v>
      </c>
    </row>
    <row r="88" spans="1:14" x14ac:dyDescent="0.3">
      <c r="A88" s="5" t="s">
        <v>133</v>
      </c>
      <c r="B88" s="7">
        <f>312.53</f>
        <v>312.52999999999997</v>
      </c>
      <c r="C88" s="7">
        <f>224.34</f>
        <v>224.34</v>
      </c>
      <c r="D88" s="6"/>
      <c r="E88" s="6"/>
      <c r="F88" s="6"/>
      <c r="G88" s="6"/>
      <c r="H88" s="6"/>
      <c r="I88" s="6"/>
      <c r="J88" s="6"/>
      <c r="K88" s="6"/>
      <c r="L88" s="6"/>
      <c r="M88" s="6"/>
      <c r="N88" s="7">
        <f t="shared" si="20"/>
        <v>536.87</v>
      </c>
    </row>
    <row r="89" spans="1:14" x14ac:dyDescent="0.3">
      <c r="A89" s="5" t="s">
        <v>110</v>
      </c>
      <c r="B89" s="6"/>
      <c r="C89" s="7">
        <f>446.95</f>
        <v>446.95</v>
      </c>
      <c r="D89" s="7">
        <f>2155.52</f>
        <v>2155.52</v>
      </c>
      <c r="E89" s="7">
        <f>2109.76</f>
        <v>2109.7600000000002</v>
      </c>
      <c r="F89" s="7">
        <f>2063.43</f>
        <v>2063.4299999999998</v>
      </c>
      <c r="G89" s="7">
        <f>2016.54</f>
        <v>2016.54</v>
      </c>
      <c r="H89" s="7">
        <f>1969.08</f>
        <v>1969.08</v>
      </c>
      <c r="I89" s="7">
        <f>1921.03</f>
        <v>1921.03</v>
      </c>
      <c r="J89" s="7">
        <f>1872.39</f>
        <v>1872.39</v>
      </c>
      <c r="K89" s="7">
        <f>2485.15</f>
        <v>2485.15</v>
      </c>
      <c r="L89" s="7">
        <f>1897.15</f>
        <v>1897.15</v>
      </c>
      <c r="M89" s="7">
        <f>1843.76</f>
        <v>1843.76</v>
      </c>
      <c r="N89" s="7">
        <f t="shared" si="20"/>
        <v>20780.760000000002</v>
      </c>
    </row>
    <row r="90" spans="1:14" x14ac:dyDescent="0.3">
      <c r="A90" s="5" t="s">
        <v>134</v>
      </c>
      <c r="B90" s="7">
        <f>459.5</f>
        <v>459.5</v>
      </c>
      <c r="C90" s="7">
        <f>499.6</f>
        <v>499.6</v>
      </c>
      <c r="D90" s="7">
        <f>335.43</f>
        <v>335.43</v>
      </c>
      <c r="E90" s="7">
        <f>299.53</f>
        <v>299.52999999999997</v>
      </c>
      <c r="F90" s="7">
        <f>746.47</f>
        <v>746.47</v>
      </c>
      <c r="G90" s="7">
        <f>193.62</f>
        <v>193.62</v>
      </c>
      <c r="H90" s="6"/>
      <c r="I90" s="6"/>
      <c r="J90" s="6"/>
      <c r="K90" s="6"/>
      <c r="L90" s="6"/>
      <c r="M90" s="6"/>
      <c r="N90" s="7">
        <f t="shared" si="20"/>
        <v>2534.1499999999996</v>
      </c>
    </row>
    <row r="91" spans="1:14" x14ac:dyDescent="0.3">
      <c r="A91" s="5" t="s">
        <v>135</v>
      </c>
      <c r="B91" s="7">
        <f>7139.95</f>
        <v>7139.95</v>
      </c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7">
        <f t="shared" si="20"/>
        <v>7139.95</v>
      </c>
    </row>
    <row r="92" spans="1:14" x14ac:dyDescent="0.3">
      <c r="A92" s="5" t="s">
        <v>111</v>
      </c>
      <c r="B92" s="8">
        <f t="shared" ref="B92:M92" si="21">((((B87)+(B88))+(B89))+(B90))+(B91)</f>
        <v>7911.98</v>
      </c>
      <c r="C92" s="8">
        <f t="shared" si="21"/>
        <v>1170.8899999999999</v>
      </c>
      <c r="D92" s="8">
        <f t="shared" si="21"/>
        <v>2490.9499999999998</v>
      </c>
      <c r="E92" s="8">
        <f t="shared" si="21"/>
        <v>2409.29</v>
      </c>
      <c r="F92" s="8">
        <f t="shared" si="21"/>
        <v>2809.8999999999996</v>
      </c>
      <c r="G92" s="8">
        <f t="shared" si="21"/>
        <v>2210.16</v>
      </c>
      <c r="H92" s="8">
        <f t="shared" si="21"/>
        <v>1969.08</v>
      </c>
      <c r="I92" s="8">
        <f t="shared" si="21"/>
        <v>1921.03</v>
      </c>
      <c r="J92" s="8">
        <f t="shared" si="21"/>
        <v>1872.39</v>
      </c>
      <c r="K92" s="8">
        <f t="shared" si="21"/>
        <v>2488.0300000000002</v>
      </c>
      <c r="L92" s="8">
        <f t="shared" si="21"/>
        <v>1897.15</v>
      </c>
      <c r="M92" s="8">
        <f t="shared" si="21"/>
        <v>1843.76</v>
      </c>
      <c r="N92" s="8">
        <f t="shared" si="20"/>
        <v>30994.609999999997</v>
      </c>
    </row>
    <row r="93" spans="1:14" x14ac:dyDescent="0.3">
      <c r="A93" s="5" t="s">
        <v>112</v>
      </c>
      <c r="B93" s="6"/>
      <c r="C93" s="7">
        <f t="shared" ref="C93:M93" si="22">219.31</f>
        <v>219.31</v>
      </c>
      <c r="D93" s="7">
        <f t="shared" si="22"/>
        <v>219.31</v>
      </c>
      <c r="E93" s="7">
        <f t="shared" si="22"/>
        <v>219.31</v>
      </c>
      <c r="F93" s="7">
        <f t="shared" si="22"/>
        <v>219.31</v>
      </c>
      <c r="G93" s="7">
        <f t="shared" si="22"/>
        <v>219.31</v>
      </c>
      <c r="H93" s="7">
        <f t="shared" si="22"/>
        <v>219.31</v>
      </c>
      <c r="I93" s="7">
        <f t="shared" si="22"/>
        <v>219.31</v>
      </c>
      <c r="J93" s="7">
        <f t="shared" si="22"/>
        <v>219.31</v>
      </c>
      <c r="K93" s="7">
        <f t="shared" si="22"/>
        <v>219.31</v>
      </c>
      <c r="L93" s="7">
        <f t="shared" si="22"/>
        <v>219.31</v>
      </c>
      <c r="M93" s="7">
        <f t="shared" si="22"/>
        <v>219.31</v>
      </c>
      <c r="N93" s="7">
        <f t="shared" si="20"/>
        <v>2412.41</v>
      </c>
    </row>
    <row r="94" spans="1:14" x14ac:dyDescent="0.3">
      <c r="A94" s="5" t="s">
        <v>113</v>
      </c>
      <c r="B94" s="8">
        <f t="shared" ref="B94:M94" si="23">(B92)+(B93)</f>
        <v>7911.98</v>
      </c>
      <c r="C94" s="8">
        <f t="shared" si="23"/>
        <v>1390.1999999999998</v>
      </c>
      <c r="D94" s="8">
        <f t="shared" si="23"/>
        <v>2710.2599999999998</v>
      </c>
      <c r="E94" s="8">
        <f t="shared" si="23"/>
        <v>2628.6</v>
      </c>
      <c r="F94" s="8">
        <f t="shared" si="23"/>
        <v>3029.2099999999996</v>
      </c>
      <c r="G94" s="8">
        <f t="shared" si="23"/>
        <v>2429.4699999999998</v>
      </c>
      <c r="H94" s="8">
        <f t="shared" si="23"/>
        <v>2188.39</v>
      </c>
      <c r="I94" s="8">
        <f t="shared" si="23"/>
        <v>2140.34</v>
      </c>
      <c r="J94" s="8">
        <f t="shared" si="23"/>
        <v>2091.7000000000003</v>
      </c>
      <c r="K94" s="8">
        <f t="shared" si="23"/>
        <v>2707.34</v>
      </c>
      <c r="L94" s="8">
        <f t="shared" si="23"/>
        <v>2116.46</v>
      </c>
      <c r="M94" s="8">
        <f t="shared" si="23"/>
        <v>2063.0700000000002</v>
      </c>
      <c r="N94" s="8">
        <f t="shared" si="20"/>
        <v>33407.020000000004</v>
      </c>
    </row>
    <row r="95" spans="1:14" x14ac:dyDescent="0.3">
      <c r="A95" s="5" t="s">
        <v>114</v>
      </c>
      <c r="B95" s="8">
        <f t="shared" ref="B95:M95" si="24">(0)-(B94)</f>
        <v>-7911.98</v>
      </c>
      <c r="C95" s="8">
        <f t="shared" si="24"/>
        <v>-1390.1999999999998</v>
      </c>
      <c r="D95" s="8">
        <f t="shared" si="24"/>
        <v>-2710.2599999999998</v>
      </c>
      <c r="E95" s="8">
        <f t="shared" si="24"/>
        <v>-2628.6</v>
      </c>
      <c r="F95" s="8">
        <f t="shared" si="24"/>
        <v>-3029.2099999999996</v>
      </c>
      <c r="G95" s="8">
        <f t="shared" si="24"/>
        <v>-2429.4699999999998</v>
      </c>
      <c r="H95" s="8">
        <f t="shared" si="24"/>
        <v>-2188.39</v>
      </c>
      <c r="I95" s="8">
        <f t="shared" si="24"/>
        <v>-2140.34</v>
      </c>
      <c r="J95" s="8">
        <f t="shared" si="24"/>
        <v>-2091.7000000000003</v>
      </c>
      <c r="K95" s="8">
        <f t="shared" si="24"/>
        <v>-2707.34</v>
      </c>
      <c r="L95" s="8">
        <f t="shared" si="24"/>
        <v>-2116.46</v>
      </c>
      <c r="M95" s="8">
        <f t="shared" si="24"/>
        <v>-2063.0700000000002</v>
      </c>
      <c r="N95" s="8">
        <f t="shared" si="20"/>
        <v>-33407.020000000004</v>
      </c>
    </row>
    <row r="96" spans="1:14" x14ac:dyDescent="0.3">
      <c r="A96" s="5" t="s">
        <v>115</v>
      </c>
      <c r="B96" s="8">
        <f t="shared" ref="B96:M96" si="25">(B85)+(B95)</f>
        <v>-47833.049999999988</v>
      </c>
      <c r="C96" s="8">
        <f t="shared" si="25"/>
        <v>-28274.819999999996</v>
      </c>
      <c r="D96" s="8">
        <f t="shared" si="25"/>
        <v>-3610.8800000000097</v>
      </c>
      <c r="E96" s="8">
        <f t="shared" si="25"/>
        <v>-33102.840000000004</v>
      </c>
      <c r="F96" s="8">
        <f t="shared" si="25"/>
        <v>4176.3799999999974</v>
      </c>
      <c r="G96" s="8">
        <f t="shared" si="25"/>
        <v>17105.400000000009</v>
      </c>
      <c r="H96" s="8">
        <f t="shared" si="25"/>
        <v>-16171.479999999996</v>
      </c>
      <c r="I96" s="8">
        <f t="shared" si="25"/>
        <v>4728.6000000000313</v>
      </c>
      <c r="J96" s="8">
        <f t="shared" si="25"/>
        <v>-22379.620000000043</v>
      </c>
      <c r="K96" s="8">
        <f t="shared" si="25"/>
        <v>-64443.489999999991</v>
      </c>
      <c r="L96" s="8">
        <f t="shared" si="25"/>
        <v>4665.3000000000093</v>
      </c>
      <c r="M96" s="8">
        <f t="shared" si="25"/>
        <v>-36773.249999999993</v>
      </c>
      <c r="N96" s="8">
        <f t="shared" si="20"/>
        <v>-221913.74999999997</v>
      </c>
    </row>
    <row r="97" spans="1:14" x14ac:dyDescent="0.3">
      <c r="A97" s="5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</row>
    <row r="100" spans="1:14" x14ac:dyDescent="0.3">
      <c r="A100" s="12" t="s">
        <v>136</v>
      </c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3" tint="0.79998168889431442"/>
  </sheetPr>
  <dimension ref="A1:N94"/>
  <sheetViews>
    <sheetView workbookViewId="0"/>
  </sheetViews>
  <sheetFormatPr defaultColWidth="9" defaultRowHeight="14.4" x14ac:dyDescent="0.3"/>
  <cols>
    <col min="1" max="1" width="42.109375" style="2" customWidth="1"/>
    <col min="2" max="2" width="11.109375" style="2" customWidth="1"/>
    <col min="3" max="5" width="10.33203125" style="2" customWidth="1"/>
    <col min="6" max="6" width="11.109375" style="2" customWidth="1"/>
    <col min="7" max="9" width="10.33203125" style="2" customWidth="1"/>
    <col min="10" max="11" width="11.109375" style="2" customWidth="1"/>
    <col min="12" max="13" width="10.33203125" style="2" customWidth="1"/>
    <col min="14" max="14" width="12" style="2" customWidth="1"/>
    <col min="15" max="16384" width="9" style="2"/>
  </cols>
  <sheetData>
    <row r="1" spans="1:14" ht="17.399999999999999" x14ac:dyDescent="0.3">
      <c r="A1" s="9" t="s">
        <v>1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</row>
    <row r="2" spans="1:14" ht="17.399999999999999" x14ac:dyDescent="0.3">
      <c r="A2" s="9" t="s">
        <v>2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3">
      <c r="A3" s="11" t="s">
        <v>137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</row>
    <row r="5" spans="1:14" x14ac:dyDescent="0.3">
      <c r="A5" s="3"/>
      <c r="B5" s="13">
        <v>42370</v>
      </c>
      <c r="C5" s="13">
        <v>42401</v>
      </c>
      <c r="D5" s="13">
        <v>42430</v>
      </c>
      <c r="E5" s="13">
        <v>42461</v>
      </c>
      <c r="F5" s="13">
        <v>42491</v>
      </c>
      <c r="G5" s="13">
        <v>42522</v>
      </c>
      <c r="H5" s="13">
        <v>42552</v>
      </c>
      <c r="I5" s="13">
        <v>42583</v>
      </c>
      <c r="J5" s="13">
        <v>42614</v>
      </c>
      <c r="K5" s="13">
        <v>42644</v>
      </c>
      <c r="L5" s="13">
        <v>42675</v>
      </c>
      <c r="M5" s="13">
        <v>42705</v>
      </c>
      <c r="N5" s="4">
        <v>2016</v>
      </c>
    </row>
    <row r="6" spans="1:14" x14ac:dyDescent="0.3">
      <c r="A6" s="5" t="s">
        <v>17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</row>
    <row r="7" spans="1:14" x14ac:dyDescent="0.3">
      <c r="A7" s="5" t="s">
        <v>18</v>
      </c>
      <c r="B7" s="7">
        <f>77774.86</f>
        <v>77774.86</v>
      </c>
      <c r="C7" s="7">
        <f>115834.7</f>
        <v>115834.7</v>
      </c>
      <c r="D7" s="7">
        <f>111617.61</f>
        <v>111617.61</v>
      </c>
      <c r="E7" s="7">
        <f>114626.36</f>
        <v>114626.36</v>
      </c>
      <c r="F7" s="7">
        <f>111730.65</f>
        <v>111730.65</v>
      </c>
      <c r="G7" s="7">
        <f>133049.99</f>
        <v>133049.99</v>
      </c>
      <c r="H7" s="7">
        <f>125449.94</f>
        <v>125449.94</v>
      </c>
      <c r="I7" s="7">
        <f>138681.18</f>
        <v>138681.18</v>
      </c>
      <c r="J7" s="7">
        <f>137741.67</f>
        <v>137741.67000000001</v>
      </c>
      <c r="K7" s="7">
        <f>150495.89</f>
        <v>150495.89000000001</v>
      </c>
      <c r="L7" s="7">
        <f>160900.77</f>
        <v>160900.76999999999</v>
      </c>
      <c r="M7" s="7">
        <f>166819.71</f>
        <v>166819.71</v>
      </c>
      <c r="N7" s="7">
        <f>(((((((((((B7)+(C7))+(D7))+(E7))+(F7))+(G7))+(H7))+(I7))+(J7))+(K7))+(L7))+(M7)</f>
        <v>1544723.3299999996</v>
      </c>
    </row>
    <row r="8" spans="1:14" x14ac:dyDescent="0.3">
      <c r="A8" s="5" t="s">
        <v>19</v>
      </c>
      <c r="B8" s="7">
        <f>-3543.57</f>
        <v>-3543.57</v>
      </c>
      <c r="C8" s="7">
        <f>-4493.26</f>
        <v>-4493.26</v>
      </c>
      <c r="D8" s="7">
        <f>-4805.33</f>
        <v>-4805.33</v>
      </c>
      <c r="E8" s="7">
        <f>-6589.51</f>
        <v>-6589.51</v>
      </c>
      <c r="F8" s="7">
        <f>-11010.87</f>
        <v>-11010.87</v>
      </c>
      <c r="G8" s="7">
        <f>-12177.97</f>
        <v>-12177.97</v>
      </c>
      <c r="H8" s="7">
        <f>-19928.71</f>
        <v>-19928.71</v>
      </c>
      <c r="I8" s="7">
        <f>-9893.47</f>
        <v>-9893.4699999999993</v>
      </c>
      <c r="J8" s="7">
        <f>-13899.13</f>
        <v>-13899.13</v>
      </c>
      <c r="K8" s="7">
        <f>-13005.85</f>
        <v>-13005.85</v>
      </c>
      <c r="L8" s="7">
        <f>-12190.58</f>
        <v>-12190.58</v>
      </c>
      <c r="M8" s="7">
        <f>-25067.32</f>
        <v>-25067.32</v>
      </c>
      <c r="N8" s="7">
        <f>(((((((((((B8)+(C8))+(D8))+(E8))+(F8))+(G8))+(H8))+(I8))+(J8))+(K8))+(L8))+(M8)</f>
        <v>-136605.57</v>
      </c>
    </row>
    <row r="9" spans="1:14" x14ac:dyDescent="0.3">
      <c r="A9" s="5" t="s">
        <v>20</v>
      </c>
      <c r="B9" s="8">
        <f t="shared" ref="B9:M9" si="0">(B7)+(B8)</f>
        <v>74231.289999999994</v>
      </c>
      <c r="C9" s="8">
        <f t="shared" si="0"/>
        <v>111341.44</v>
      </c>
      <c r="D9" s="8">
        <f t="shared" si="0"/>
        <v>106812.28</v>
      </c>
      <c r="E9" s="8">
        <f t="shared" si="0"/>
        <v>108036.85</v>
      </c>
      <c r="F9" s="8">
        <f t="shared" si="0"/>
        <v>100719.78</v>
      </c>
      <c r="G9" s="8">
        <f t="shared" si="0"/>
        <v>120872.01999999999</v>
      </c>
      <c r="H9" s="8">
        <f t="shared" si="0"/>
        <v>105521.23000000001</v>
      </c>
      <c r="I9" s="8">
        <f t="shared" si="0"/>
        <v>128787.70999999999</v>
      </c>
      <c r="J9" s="8">
        <f t="shared" si="0"/>
        <v>123842.54000000001</v>
      </c>
      <c r="K9" s="8">
        <f t="shared" si="0"/>
        <v>137490.04</v>
      </c>
      <c r="L9" s="8">
        <f t="shared" si="0"/>
        <v>148710.19</v>
      </c>
      <c r="M9" s="8">
        <f t="shared" si="0"/>
        <v>141752.38999999998</v>
      </c>
      <c r="N9" s="8">
        <f>(((((((((((B9)+(C9))+(D9))+(E9))+(F9))+(G9))+(H9))+(I9))+(J9))+(K9))+(L9))+(M9)</f>
        <v>1408117.7599999998</v>
      </c>
    </row>
    <row r="10" spans="1:14" x14ac:dyDescent="0.3">
      <c r="A10" s="5" t="s">
        <v>21</v>
      </c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</row>
    <row r="11" spans="1:14" x14ac:dyDescent="0.3">
      <c r="A11" s="5" t="s">
        <v>22</v>
      </c>
      <c r="B11" s="7">
        <f>14309.55</f>
        <v>14309.55</v>
      </c>
      <c r="C11" s="7">
        <f>21221.63</f>
        <v>21221.63</v>
      </c>
      <c r="D11" s="7">
        <f>19060.25</f>
        <v>19060.25</v>
      </c>
      <c r="E11" s="7">
        <f>21190.97</f>
        <v>21190.97</v>
      </c>
      <c r="F11" s="7">
        <f>19622.36</f>
        <v>19622.36</v>
      </c>
      <c r="G11" s="7">
        <f>23222.07</f>
        <v>23222.07</v>
      </c>
      <c r="H11" s="7">
        <f>18035.26</f>
        <v>18035.259999999998</v>
      </c>
      <c r="I11" s="7">
        <f>18939.22</f>
        <v>18939.22</v>
      </c>
      <c r="J11" s="7">
        <f>17186.71</f>
        <v>17186.71</v>
      </c>
      <c r="K11" s="7">
        <f>29915.45</f>
        <v>29915.45</v>
      </c>
      <c r="L11" s="7">
        <f>22597.43</f>
        <v>22597.43</v>
      </c>
      <c r="M11" s="7">
        <f>20108.86</f>
        <v>20108.86</v>
      </c>
      <c r="N11" s="7">
        <f t="shared" ref="N11:N18" si="1">(((((((((((B11)+(C11))+(D11))+(E11))+(F11))+(G11))+(H11))+(I11))+(J11))+(K11))+(L11))+(M11)</f>
        <v>245409.76</v>
      </c>
    </row>
    <row r="12" spans="1:14" x14ac:dyDescent="0.3">
      <c r="A12" s="5" t="s">
        <v>24</v>
      </c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7">
        <f t="shared" si="1"/>
        <v>0</v>
      </c>
    </row>
    <row r="13" spans="1:14" x14ac:dyDescent="0.3">
      <c r="A13" s="5" t="s">
        <v>28</v>
      </c>
      <c r="B13" s="6"/>
      <c r="C13" s="6"/>
      <c r="D13" s="6"/>
      <c r="E13" s="6"/>
      <c r="F13" s="6"/>
      <c r="G13" s="7">
        <f>821.29</f>
        <v>821.29</v>
      </c>
      <c r="H13" s="7">
        <f>827.21</f>
        <v>827.21</v>
      </c>
      <c r="I13" s="7">
        <f>373.4</f>
        <v>373.4</v>
      </c>
      <c r="J13" s="7">
        <f>212</f>
        <v>212</v>
      </c>
      <c r="K13" s="7">
        <f>949.75</f>
        <v>949.75</v>
      </c>
      <c r="L13" s="7">
        <f>794.94</f>
        <v>794.94</v>
      </c>
      <c r="M13" s="7">
        <f>4080.67</f>
        <v>4080.67</v>
      </c>
      <c r="N13" s="7">
        <f t="shared" si="1"/>
        <v>8059.26</v>
      </c>
    </row>
    <row r="14" spans="1:14" x14ac:dyDescent="0.3">
      <c r="A14" s="5" t="s">
        <v>30</v>
      </c>
      <c r="B14" s="8">
        <f t="shared" ref="B14:M14" si="2">(B12)+(B13)</f>
        <v>0</v>
      </c>
      <c r="C14" s="8">
        <f t="shared" si="2"/>
        <v>0</v>
      </c>
      <c r="D14" s="8">
        <f t="shared" si="2"/>
        <v>0</v>
      </c>
      <c r="E14" s="8">
        <f t="shared" si="2"/>
        <v>0</v>
      </c>
      <c r="F14" s="8">
        <f t="shared" si="2"/>
        <v>0</v>
      </c>
      <c r="G14" s="8">
        <f t="shared" si="2"/>
        <v>821.29</v>
      </c>
      <c r="H14" s="8">
        <f t="shared" si="2"/>
        <v>827.21</v>
      </c>
      <c r="I14" s="8">
        <f t="shared" si="2"/>
        <v>373.4</v>
      </c>
      <c r="J14" s="8">
        <f t="shared" si="2"/>
        <v>212</v>
      </c>
      <c r="K14" s="8">
        <f t="shared" si="2"/>
        <v>949.75</v>
      </c>
      <c r="L14" s="8">
        <f t="shared" si="2"/>
        <v>794.94</v>
      </c>
      <c r="M14" s="8">
        <f t="shared" si="2"/>
        <v>4080.67</v>
      </c>
      <c r="N14" s="8">
        <f t="shared" si="1"/>
        <v>8059.26</v>
      </c>
    </row>
    <row r="15" spans="1:14" x14ac:dyDescent="0.3">
      <c r="A15" s="5" t="s">
        <v>31</v>
      </c>
      <c r="B15" s="6"/>
      <c r="C15" s="6"/>
      <c r="D15" s="6"/>
      <c r="E15" s="6"/>
      <c r="F15" s="6"/>
      <c r="G15" s="6"/>
      <c r="H15" s="6"/>
      <c r="I15" s="7">
        <f>1025.95</f>
        <v>1025.95</v>
      </c>
      <c r="J15" s="7">
        <f>532.35</f>
        <v>532.35</v>
      </c>
      <c r="K15" s="7">
        <f>11455.13</f>
        <v>11455.13</v>
      </c>
      <c r="L15" s="7">
        <f>1934.33</f>
        <v>1934.33</v>
      </c>
      <c r="M15" s="7">
        <f>2287.96</f>
        <v>2287.96</v>
      </c>
      <c r="N15" s="7">
        <f t="shared" si="1"/>
        <v>17235.72</v>
      </c>
    </row>
    <row r="16" spans="1:14" x14ac:dyDescent="0.3">
      <c r="A16" s="5" t="s">
        <v>33</v>
      </c>
      <c r="B16" s="7">
        <f>623.73</f>
        <v>623.73</v>
      </c>
      <c r="C16" s="7">
        <f>775.16</f>
        <v>775.16</v>
      </c>
      <c r="D16" s="7">
        <f>743.5</f>
        <v>743.5</v>
      </c>
      <c r="E16" s="7">
        <f>749.62</f>
        <v>749.62</v>
      </c>
      <c r="F16" s="7">
        <f>1237.35</f>
        <v>1237.3499999999999</v>
      </c>
      <c r="G16" s="7">
        <f>748.69</f>
        <v>748.69</v>
      </c>
      <c r="H16" s="7">
        <f>1380.55</f>
        <v>1380.55</v>
      </c>
      <c r="I16" s="7">
        <f>587.91</f>
        <v>587.91</v>
      </c>
      <c r="J16" s="7">
        <f>933.35</f>
        <v>933.35</v>
      </c>
      <c r="K16" s="7">
        <f>919.46</f>
        <v>919.46</v>
      </c>
      <c r="L16" s="7">
        <f>893.72</f>
        <v>893.72</v>
      </c>
      <c r="M16" s="6"/>
      <c r="N16" s="7">
        <f t="shared" si="1"/>
        <v>9593.0399999999991</v>
      </c>
    </row>
    <row r="17" spans="1:14" x14ac:dyDescent="0.3">
      <c r="A17" s="5" t="s">
        <v>35</v>
      </c>
      <c r="B17" s="8">
        <f t="shared" ref="B17:M17" si="3">(((B11)+(B14))+(B15))+(B16)</f>
        <v>14933.279999999999</v>
      </c>
      <c r="C17" s="8">
        <f t="shared" si="3"/>
        <v>21996.79</v>
      </c>
      <c r="D17" s="8">
        <f t="shared" si="3"/>
        <v>19803.75</v>
      </c>
      <c r="E17" s="8">
        <f t="shared" si="3"/>
        <v>21940.59</v>
      </c>
      <c r="F17" s="8">
        <f t="shared" si="3"/>
        <v>20859.71</v>
      </c>
      <c r="G17" s="8">
        <f t="shared" si="3"/>
        <v>24792.05</v>
      </c>
      <c r="H17" s="8">
        <f t="shared" si="3"/>
        <v>20243.019999999997</v>
      </c>
      <c r="I17" s="8">
        <f t="shared" si="3"/>
        <v>20926.480000000003</v>
      </c>
      <c r="J17" s="8">
        <f t="shared" si="3"/>
        <v>18864.409999999996</v>
      </c>
      <c r="K17" s="8">
        <f t="shared" si="3"/>
        <v>43239.79</v>
      </c>
      <c r="L17" s="8">
        <f t="shared" si="3"/>
        <v>26220.42</v>
      </c>
      <c r="M17" s="8">
        <f t="shared" si="3"/>
        <v>26477.489999999998</v>
      </c>
      <c r="N17" s="8">
        <f t="shared" si="1"/>
        <v>280297.78000000003</v>
      </c>
    </row>
    <row r="18" spans="1:14" x14ac:dyDescent="0.3">
      <c r="A18" s="5" t="s">
        <v>36</v>
      </c>
      <c r="B18" s="8">
        <f t="shared" ref="B18:M18" si="4">(B9)-(B17)</f>
        <v>59298.009999999995</v>
      </c>
      <c r="C18" s="8">
        <f t="shared" si="4"/>
        <v>89344.65</v>
      </c>
      <c r="D18" s="8">
        <f t="shared" si="4"/>
        <v>87008.53</v>
      </c>
      <c r="E18" s="8">
        <f t="shared" si="4"/>
        <v>86096.260000000009</v>
      </c>
      <c r="F18" s="8">
        <f t="shared" si="4"/>
        <v>79860.070000000007</v>
      </c>
      <c r="G18" s="8">
        <f t="shared" si="4"/>
        <v>96079.969999999987</v>
      </c>
      <c r="H18" s="8">
        <f t="shared" si="4"/>
        <v>85278.210000000021</v>
      </c>
      <c r="I18" s="8">
        <f t="shared" si="4"/>
        <v>107861.22999999998</v>
      </c>
      <c r="J18" s="8">
        <f t="shared" si="4"/>
        <v>104978.13</v>
      </c>
      <c r="K18" s="8">
        <f t="shared" si="4"/>
        <v>94250.25</v>
      </c>
      <c r="L18" s="8">
        <f t="shared" si="4"/>
        <v>122489.77</v>
      </c>
      <c r="M18" s="8">
        <f t="shared" si="4"/>
        <v>115274.9</v>
      </c>
      <c r="N18" s="8">
        <f t="shared" si="1"/>
        <v>1127819.98</v>
      </c>
    </row>
    <row r="19" spans="1:14" x14ac:dyDescent="0.3">
      <c r="A19" s="5" t="s">
        <v>37</v>
      </c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</row>
    <row r="20" spans="1:14" x14ac:dyDescent="0.3">
      <c r="A20" s="5" t="s">
        <v>150</v>
      </c>
      <c r="B20" s="7">
        <f>4000.11</f>
        <v>4000.11</v>
      </c>
      <c r="C20" s="7">
        <f>5307.97</f>
        <v>5307.97</v>
      </c>
      <c r="D20" s="7">
        <f>5324.58</f>
        <v>5324.58</v>
      </c>
      <c r="E20" s="7">
        <f>5275.78</f>
        <v>5275.78</v>
      </c>
      <c r="F20" s="7">
        <f>5272</f>
        <v>5272</v>
      </c>
      <c r="G20" s="7">
        <f>5375.51</f>
        <v>5375.51</v>
      </c>
      <c r="H20" s="7">
        <f>5585.18</f>
        <v>5585.18</v>
      </c>
      <c r="I20" s="7">
        <f>5139.76</f>
        <v>5139.76</v>
      </c>
      <c r="J20" s="7">
        <f>7582.66</f>
        <v>7582.66</v>
      </c>
      <c r="K20" s="7">
        <f>5467.64</f>
        <v>5467.64</v>
      </c>
      <c r="L20" s="7">
        <f>6122.97</f>
        <v>6122.97</v>
      </c>
      <c r="M20" s="7">
        <f>5203.36</f>
        <v>5203.3599999999997</v>
      </c>
      <c r="N20" s="7">
        <f t="shared" ref="N20:N75" si="5">(((((((((((B20)+(C20))+(D20))+(E20))+(F20))+(G20))+(H20))+(I20))+(J20))+(K20))+(L20))+(M20)</f>
        <v>65657.52</v>
      </c>
    </row>
    <row r="21" spans="1:14" x14ac:dyDescent="0.3">
      <c r="A21" s="5" t="s">
        <v>39</v>
      </c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7">
        <f t="shared" si="5"/>
        <v>0</v>
      </c>
    </row>
    <row r="22" spans="1:14" x14ac:dyDescent="0.3">
      <c r="A22" s="5" t="s">
        <v>40</v>
      </c>
      <c r="B22" s="7">
        <f>30</f>
        <v>30</v>
      </c>
      <c r="C22" s="7">
        <f>28</f>
        <v>28</v>
      </c>
      <c r="D22" s="7">
        <f>67</f>
        <v>67</v>
      </c>
      <c r="E22" s="7">
        <f>99</f>
        <v>99</v>
      </c>
      <c r="F22" s="7">
        <f>179.08</f>
        <v>179.08</v>
      </c>
      <c r="G22" s="7">
        <f>62.44</f>
        <v>62.44</v>
      </c>
      <c r="H22" s="7">
        <f>201.5</f>
        <v>201.5</v>
      </c>
      <c r="I22" s="7">
        <f>94</f>
        <v>94</v>
      </c>
      <c r="J22" s="7">
        <f>83</f>
        <v>83</v>
      </c>
      <c r="K22" s="7">
        <f>145.09</f>
        <v>145.09</v>
      </c>
      <c r="L22" s="7">
        <f>154.02</f>
        <v>154.02000000000001</v>
      </c>
      <c r="M22" s="7">
        <f>157.24</f>
        <v>157.24</v>
      </c>
      <c r="N22" s="7">
        <f t="shared" si="5"/>
        <v>1300.3700000000001</v>
      </c>
    </row>
    <row r="23" spans="1:14" x14ac:dyDescent="0.3">
      <c r="A23" s="5" t="s">
        <v>44</v>
      </c>
      <c r="B23" s="7">
        <f>146.8</f>
        <v>146.80000000000001</v>
      </c>
      <c r="C23" s="6"/>
      <c r="D23" s="6"/>
      <c r="E23" s="6"/>
      <c r="F23" s="7">
        <f>143.6</f>
        <v>143.6</v>
      </c>
      <c r="G23" s="6"/>
      <c r="H23" s="6"/>
      <c r="I23" s="6"/>
      <c r="J23" s="7">
        <f>111.6</f>
        <v>111.6</v>
      </c>
      <c r="K23" s="6"/>
      <c r="L23" s="6"/>
      <c r="M23" s="6"/>
      <c r="N23" s="7">
        <f t="shared" si="5"/>
        <v>402</v>
      </c>
    </row>
    <row r="24" spans="1:14" x14ac:dyDescent="0.3">
      <c r="A24" s="5" t="s">
        <v>45</v>
      </c>
      <c r="B24" s="6"/>
      <c r="C24" s="6"/>
      <c r="D24" s="6"/>
      <c r="E24" s="6"/>
      <c r="F24" s="7">
        <f>198.52</f>
        <v>198.52</v>
      </c>
      <c r="G24" s="7">
        <f>288.07</f>
        <v>288.07</v>
      </c>
      <c r="H24" s="7">
        <f>111.85</f>
        <v>111.85</v>
      </c>
      <c r="I24" s="7">
        <f>218.5</f>
        <v>218.5</v>
      </c>
      <c r="J24" s="7">
        <f>389.4</f>
        <v>389.4</v>
      </c>
      <c r="K24" s="7">
        <f>0</f>
        <v>0</v>
      </c>
      <c r="L24" s="6"/>
      <c r="M24" s="6"/>
      <c r="N24" s="7">
        <f t="shared" si="5"/>
        <v>1206.3400000000001</v>
      </c>
    </row>
    <row r="25" spans="1:14" x14ac:dyDescent="0.3">
      <c r="A25" s="5" t="s">
        <v>46</v>
      </c>
      <c r="B25" s="7">
        <f>1583.27</f>
        <v>1583.27</v>
      </c>
      <c r="C25" s="7">
        <f>3268.71</f>
        <v>3268.71</v>
      </c>
      <c r="D25" s="7">
        <f>-204.07</f>
        <v>-204.07</v>
      </c>
      <c r="E25" s="7">
        <f>1602.92</f>
        <v>1602.92</v>
      </c>
      <c r="F25" s="7">
        <f>1384.01</f>
        <v>1384.01</v>
      </c>
      <c r="G25" s="7">
        <f>1497.59</f>
        <v>1497.59</v>
      </c>
      <c r="H25" s="7">
        <f>1954.05</f>
        <v>1954.05</v>
      </c>
      <c r="I25" s="7">
        <f>1146.8</f>
        <v>1146.8</v>
      </c>
      <c r="J25" s="7">
        <f>1579.1</f>
        <v>1579.1</v>
      </c>
      <c r="K25" s="7">
        <f>1611.37</f>
        <v>1611.37</v>
      </c>
      <c r="L25" s="7">
        <f>420.9</f>
        <v>420.9</v>
      </c>
      <c r="M25" s="7">
        <f>551.06</f>
        <v>551.05999999999995</v>
      </c>
      <c r="N25" s="7">
        <f t="shared" si="5"/>
        <v>16395.71</v>
      </c>
    </row>
    <row r="26" spans="1:14" x14ac:dyDescent="0.3">
      <c r="A26" s="5" t="s">
        <v>47</v>
      </c>
      <c r="B26" s="6"/>
      <c r="C26" s="7">
        <f>242</f>
        <v>242</v>
      </c>
      <c r="D26" s="7">
        <f>42</f>
        <v>42</v>
      </c>
      <c r="E26" s="6"/>
      <c r="F26" s="6"/>
      <c r="G26" s="6"/>
      <c r="H26" s="6"/>
      <c r="I26" s="6"/>
      <c r="J26" s="6"/>
      <c r="K26" s="6"/>
      <c r="L26" s="6"/>
      <c r="M26" s="6"/>
      <c r="N26" s="7">
        <f t="shared" si="5"/>
        <v>284</v>
      </c>
    </row>
    <row r="27" spans="1:14" x14ac:dyDescent="0.3">
      <c r="A27" s="5" t="s">
        <v>49</v>
      </c>
      <c r="B27" s="8">
        <f t="shared" ref="B27:M27" si="6">(B25)+(B26)</f>
        <v>1583.27</v>
      </c>
      <c r="C27" s="8">
        <f t="shared" si="6"/>
        <v>3510.71</v>
      </c>
      <c r="D27" s="8">
        <f t="shared" si="6"/>
        <v>-162.07</v>
      </c>
      <c r="E27" s="8">
        <f t="shared" si="6"/>
        <v>1602.92</v>
      </c>
      <c r="F27" s="8">
        <f t="shared" si="6"/>
        <v>1384.01</v>
      </c>
      <c r="G27" s="8">
        <f t="shared" si="6"/>
        <v>1497.59</v>
      </c>
      <c r="H27" s="8">
        <f t="shared" si="6"/>
        <v>1954.05</v>
      </c>
      <c r="I27" s="8">
        <f t="shared" si="6"/>
        <v>1146.8</v>
      </c>
      <c r="J27" s="8">
        <f t="shared" si="6"/>
        <v>1579.1</v>
      </c>
      <c r="K27" s="8">
        <f t="shared" si="6"/>
        <v>1611.37</v>
      </c>
      <c r="L27" s="8">
        <f t="shared" si="6"/>
        <v>420.9</v>
      </c>
      <c r="M27" s="8">
        <f t="shared" si="6"/>
        <v>551.05999999999995</v>
      </c>
      <c r="N27" s="8">
        <f t="shared" si="5"/>
        <v>16679.71</v>
      </c>
    </row>
    <row r="28" spans="1:14" x14ac:dyDescent="0.3">
      <c r="A28" s="5" t="s">
        <v>54</v>
      </c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7">
        <f t="shared" si="5"/>
        <v>0</v>
      </c>
    </row>
    <row r="29" spans="1:14" x14ac:dyDescent="0.3">
      <c r="A29" s="5" t="s">
        <v>55</v>
      </c>
      <c r="B29" s="6"/>
      <c r="C29" s="6"/>
      <c r="D29" s="6"/>
      <c r="E29" s="6"/>
      <c r="F29" s="6"/>
      <c r="G29" s="6"/>
      <c r="H29" s="6"/>
      <c r="I29" s="6"/>
      <c r="J29" s="7">
        <f>3000</f>
        <v>3000</v>
      </c>
      <c r="K29" s="6"/>
      <c r="L29" s="6"/>
      <c r="M29" s="6"/>
      <c r="N29" s="7">
        <f t="shared" si="5"/>
        <v>3000</v>
      </c>
    </row>
    <row r="30" spans="1:14" x14ac:dyDescent="0.3">
      <c r="A30" s="5" t="s">
        <v>56</v>
      </c>
      <c r="B30" s="7">
        <f>422</f>
        <v>422</v>
      </c>
      <c r="C30" s="7">
        <f>247</f>
        <v>247</v>
      </c>
      <c r="D30" s="7">
        <f>560</f>
        <v>560</v>
      </c>
      <c r="E30" s="7">
        <f>2215</f>
        <v>2215</v>
      </c>
      <c r="F30" s="7">
        <f>1985</f>
        <v>1985</v>
      </c>
      <c r="G30" s="7">
        <f>2500</f>
        <v>2500</v>
      </c>
      <c r="H30" s="7">
        <f>3493</f>
        <v>3493</v>
      </c>
      <c r="I30" s="7">
        <f>149</f>
        <v>149</v>
      </c>
      <c r="J30" s="6"/>
      <c r="K30" s="7">
        <f>250</f>
        <v>250</v>
      </c>
      <c r="L30" s="7">
        <f>600</f>
        <v>600</v>
      </c>
      <c r="M30" s="7">
        <f>327.2</f>
        <v>327.2</v>
      </c>
      <c r="N30" s="7">
        <f t="shared" si="5"/>
        <v>12748.2</v>
      </c>
    </row>
    <row r="31" spans="1:14" x14ac:dyDescent="0.3">
      <c r="A31" s="5" t="s">
        <v>58</v>
      </c>
      <c r="B31" s="8">
        <f t="shared" ref="B31:M31" si="7">((B28)+(B29))+(B30)</f>
        <v>422</v>
      </c>
      <c r="C31" s="8">
        <f t="shared" si="7"/>
        <v>247</v>
      </c>
      <c r="D31" s="8">
        <f t="shared" si="7"/>
        <v>560</v>
      </c>
      <c r="E31" s="8">
        <f t="shared" si="7"/>
        <v>2215</v>
      </c>
      <c r="F31" s="8">
        <f t="shared" si="7"/>
        <v>1985</v>
      </c>
      <c r="G31" s="8">
        <f t="shared" si="7"/>
        <v>2500</v>
      </c>
      <c r="H31" s="8">
        <f t="shared" si="7"/>
        <v>3493</v>
      </c>
      <c r="I31" s="8">
        <f t="shared" si="7"/>
        <v>149</v>
      </c>
      <c r="J31" s="8">
        <f t="shared" si="7"/>
        <v>3000</v>
      </c>
      <c r="K31" s="8">
        <f t="shared" si="7"/>
        <v>250</v>
      </c>
      <c r="L31" s="8">
        <f t="shared" si="7"/>
        <v>600</v>
      </c>
      <c r="M31" s="8">
        <f t="shared" si="7"/>
        <v>327.2</v>
      </c>
      <c r="N31" s="8">
        <f t="shared" si="5"/>
        <v>15748.2</v>
      </c>
    </row>
    <row r="32" spans="1:14" x14ac:dyDescent="0.3">
      <c r="A32" s="5" t="s">
        <v>59</v>
      </c>
      <c r="B32" s="6"/>
      <c r="C32" s="6"/>
      <c r="D32" s="6"/>
      <c r="E32" s="6"/>
      <c r="F32" s="7">
        <f>35</f>
        <v>35</v>
      </c>
      <c r="G32" s="6"/>
      <c r="H32" s="7">
        <f>70</f>
        <v>70</v>
      </c>
      <c r="I32" s="7">
        <f>140</f>
        <v>140</v>
      </c>
      <c r="J32" s="7">
        <f>105</f>
        <v>105</v>
      </c>
      <c r="K32" s="7">
        <f>140</f>
        <v>140</v>
      </c>
      <c r="L32" s="7">
        <f>140</f>
        <v>140</v>
      </c>
      <c r="M32" s="7">
        <f>175</f>
        <v>175</v>
      </c>
      <c r="N32" s="7">
        <f t="shared" si="5"/>
        <v>805</v>
      </c>
    </row>
    <row r="33" spans="1:14" x14ac:dyDescent="0.3">
      <c r="A33" s="5" t="s">
        <v>60</v>
      </c>
      <c r="B33" s="7">
        <f>1985.4</f>
        <v>1985.4</v>
      </c>
      <c r="C33" s="7">
        <f>1985.4</f>
        <v>1985.4</v>
      </c>
      <c r="D33" s="7">
        <f>1985.4</f>
        <v>1985.4</v>
      </c>
      <c r="E33" s="7">
        <f>1985.4</f>
        <v>1985.4</v>
      </c>
      <c r="F33" s="7">
        <f>993</f>
        <v>993</v>
      </c>
      <c r="G33" s="6"/>
      <c r="H33" s="7">
        <f>1985</f>
        <v>1985</v>
      </c>
      <c r="I33" s="7">
        <f>1985</f>
        <v>1985</v>
      </c>
      <c r="J33" s="7">
        <f>1985</f>
        <v>1985</v>
      </c>
      <c r="K33" s="7">
        <f>1985</f>
        <v>1985</v>
      </c>
      <c r="L33" s="7">
        <f>2978</f>
        <v>2978</v>
      </c>
      <c r="M33" s="7">
        <f>1985</f>
        <v>1985</v>
      </c>
      <c r="N33" s="7">
        <f t="shared" si="5"/>
        <v>21837.599999999999</v>
      </c>
    </row>
    <row r="34" spans="1:14" x14ac:dyDescent="0.3">
      <c r="A34" s="5" t="s">
        <v>61</v>
      </c>
      <c r="B34" s="7">
        <f>668.64</f>
        <v>668.64</v>
      </c>
      <c r="C34" s="7">
        <f>796.66</f>
        <v>796.66</v>
      </c>
      <c r="D34" s="7">
        <f>532.79</f>
        <v>532.79</v>
      </c>
      <c r="E34" s="7">
        <f>591.61</f>
        <v>591.61</v>
      </c>
      <c r="F34" s="7">
        <f>672.24</f>
        <v>672.24</v>
      </c>
      <c r="G34" s="7">
        <f>968.26</f>
        <v>968.26</v>
      </c>
      <c r="H34" s="7">
        <f>793.15</f>
        <v>793.15</v>
      </c>
      <c r="I34" s="7">
        <f>799.27</f>
        <v>799.27</v>
      </c>
      <c r="J34" s="7">
        <f>930.56</f>
        <v>930.56</v>
      </c>
      <c r="K34" s="7">
        <f>1066.93</f>
        <v>1066.93</v>
      </c>
      <c r="L34" s="7">
        <f>1150.03</f>
        <v>1150.03</v>
      </c>
      <c r="M34" s="7">
        <f>1312.69</f>
        <v>1312.69</v>
      </c>
      <c r="N34" s="7">
        <f t="shared" si="5"/>
        <v>10282.83</v>
      </c>
    </row>
    <row r="35" spans="1:14" x14ac:dyDescent="0.3">
      <c r="A35" s="5" t="s">
        <v>63</v>
      </c>
      <c r="B35" s="6"/>
      <c r="C35" s="7">
        <f>4.5</f>
        <v>4.5</v>
      </c>
      <c r="D35" s="7">
        <f>400</f>
        <v>400</v>
      </c>
      <c r="E35" s="6"/>
      <c r="F35" s="6"/>
      <c r="G35" s="7">
        <f>4.5</f>
        <v>4.5</v>
      </c>
      <c r="H35" s="6"/>
      <c r="I35" s="6"/>
      <c r="J35" s="7">
        <f>799.95</f>
        <v>799.95</v>
      </c>
      <c r="K35" s="6"/>
      <c r="L35" s="6"/>
      <c r="M35" s="6"/>
      <c r="N35" s="7">
        <f t="shared" si="5"/>
        <v>1208.95</v>
      </c>
    </row>
    <row r="36" spans="1:14" x14ac:dyDescent="0.3">
      <c r="A36" s="5" t="s">
        <v>64</v>
      </c>
      <c r="B36" s="7">
        <f>384.6</f>
        <v>384.6</v>
      </c>
      <c r="C36" s="7">
        <f>417.73</f>
        <v>417.73</v>
      </c>
      <c r="D36" s="7">
        <f>500.97</f>
        <v>500.97</v>
      </c>
      <c r="E36" s="6"/>
      <c r="F36" s="6"/>
      <c r="G36" s="6"/>
      <c r="H36" s="7">
        <f>1.8</f>
        <v>1.8</v>
      </c>
      <c r="I36" s="6"/>
      <c r="J36" s="6"/>
      <c r="K36" s="6"/>
      <c r="L36" s="7">
        <f>306.21</f>
        <v>306.20999999999998</v>
      </c>
      <c r="M36" s="6"/>
      <c r="N36" s="7">
        <f t="shared" si="5"/>
        <v>1611.3100000000002</v>
      </c>
    </row>
    <row r="37" spans="1:14" x14ac:dyDescent="0.3">
      <c r="A37" s="5" t="s">
        <v>65</v>
      </c>
      <c r="B37" s="7">
        <f>96.03</f>
        <v>96.03</v>
      </c>
      <c r="C37" s="7">
        <f>75.15</f>
        <v>75.150000000000006</v>
      </c>
      <c r="D37" s="7">
        <f>975.23</f>
        <v>975.23</v>
      </c>
      <c r="E37" s="7">
        <f>289.79</f>
        <v>289.79000000000002</v>
      </c>
      <c r="F37" s="7">
        <f>173.54</f>
        <v>173.54</v>
      </c>
      <c r="G37" s="7">
        <f>-0.09</f>
        <v>-0.09</v>
      </c>
      <c r="H37" s="7">
        <f>24</f>
        <v>24</v>
      </c>
      <c r="I37" s="7">
        <f>53.14</f>
        <v>53.14</v>
      </c>
      <c r="J37" s="6"/>
      <c r="K37" s="7">
        <f>110.73</f>
        <v>110.73</v>
      </c>
      <c r="L37" s="7">
        <f>301.46</f>
        <v>301.45999999999998</v>
      </c>
      <c r="M37" s="7">
        <f>91.14</f>
        <v>91.14</v>
      </c>
      <c r="N37" s="7">
        <f t="shared" si="5"/>
        <v>2190.12</v>
      </c>
    </row>
    <row r="38" spans="1:14" x14ac:dyDescent="0.3">
      <c r="A38" s="5" t="s">
        <v>66</v>
      </c>
      <c r="B38" s="8">
        <f t="shared" ref="B38:M38" si="8">(B36)+(B37)</f>
        <v>480.63</v>
      </c>
      <c r="C38" s="8">
        <f t="shared" si="8"/>
        <v>492.88</v>
      </c>
      <c r="D38" s="8">
        <f t="shared" si="8"/>
        <v>1476.2</v>
      </c>
      <c r="E38" s="8">
        <f t="shared" si="8"/>
        <v>289.79000000000002</v>
      </c>
      <c r="F38" s="8">
        <f t="shared" si="8"/>
        <v>173.54</v>
      </c>
      <c r="G38" s="8">
        <f t="shared" si="8"/>
        <v>-0.09</v>
      </c>
      <c r="H38" s="8">
        <f t="shared" si="8"/>
        <v>25.8</v>
      </c>
      <c r="I38" s="8">
        <f t="shared" si="8"/>
        <v>53.14</v>
      </c>
      <c r="J38" s="8">
        <f t="shared" si="8"/>
        <v>0</v>
      </c>
      <c r="K38" s="8">
        <f t="shared" si="8"/>
        <v>110.73</v>
      </c>
      <c r="L38" s="8">
        <f t="shared" si="8"/>
        <v>607.66999999999996</v>
      </c>
      <c r="M38" s="8">
        <f t="shared" si="8"/>
        <v>91.14</v>
      </c>
      <c r="N38" s="8">
        <f t="shared" si="5"/>
        <v>3801.43</v>
      </c>
    </row>
    <row r="39" spans="1:14" x14ac:dyDescent="0.3">
      <c r="A39" s="5" t="s">
        <v>67</v>
      </c>
      <c r="B39" s="7">
        <f>71.04</f>
        <v>71.040000000000006</v>
      </c>
      <c r="C39" s="7">
        <f>323.89</f>
        <v>323.89</v>
      </c>
      <c r="D39" s="7">
        <f>972.76</f>
        <v>972.76</v>
      </c>
      <c r="E39" s="7">
        <f>45.54</f>
        <v>45.54</v>
      </c>
      <c r="F39" s="7">
        <f>56.12</f>
        <v>56.12</v>
      </c>
      <c r="G39" s="7">
        <f>683.02</f>
        <v>683.02</v>
      </c>
      <c r="H39" s="7">
        <f>362.59</f>
        <v>362.59</v>
      </c>
      <c r="I39" s="7">
        <f>357.57</f>
        <v>357.57</v>
      </c>
      <c r="J39" s="7">
        <f>427.37</f>
        <v>427.37</v>
      </c>
      <c r="K39" s="7">
        <f>1645.63</f>
        <v>1645.63</v>
      </c>
      <c r="L39" s="7">
        <f>369.63</f>
        <v>369.63</v>
      </c>
      <c r="M39" s="7">
        <f>355.75</f>
        <v>355.75</v>
      </c>
      <c r="N39" s="7">
        <f t="shared" si="5"/>
        <v>5670.9100000000008</v>
      </c>
    </row>
    <row r="40" spans="1:14" x14ac:dyDescent="0.3">
      <c r="A40" s="5" t="s">
        <v>68</v>
      </c>
      <c r="B40" s="7">
        <f>102.72</f>
        <v>102.72</v>
      </c>
      <c r="C40" s="7">
        <f>104.05</f>
        <v>104.05</v>
      </c>
      <c r="D40" s="7">
        <f>377.6</f>
        <v>377.6</v>
      </c>
      <c r="E40" s="7">
        <f>465.67</f>
        <v>465.67</v>
      </c>
      <c r="F40" s="6"/>
      <c r="G40" s="6"/>
      <c r="H40" s="7">
        <f>39.97</f>
        <v>39.97</v>
      </c>
      <c r="I40" s="7">
        <f>204.54</f>
        <v>204.54</v>
      </c>
      <c r="J40" s="7">
        <f>262.11</f>
        <v>262.11</v>
      </c>
      <c r="K40" s="7">
        <f>465.39</f>
        <v>465.39</v>
      </c>
      <c r="L40" s="7">
        <f>1295.14</f>
        <v>1295.1400000000001</v>
      </c>
      <c r="M40" s="7">
        <f>1555.62</f>
        <v>1555.62</v>
      </c>
      <c r="N40" s="7">
        <f t="shared" si="5"/>
        <v>4872.8099999999995</v>
      </c>
    </row>
    <row r="41" spans="1:14" x14ac:dyDescent="0.3">
      <c r="A41" s="5" t="s">
        <v>69</v>
      </c>
      <c r="B41" s="8">
        <f t="shared" ref="B41:M41" si="9">((((((((((((B21)+(B22))+(B23))+(B24))+(B27))+(B31))+(B32))+(B33))+(B34))+(B35))+(B38))+(B39))+(B40)</f>
        <v>5490.5</v>
      </c>
      <c r="C41" s="8">
        <f t="shared" si="9"/>
        <v>7493.0900000000011</v>
      </c>
      <c r="D41" s="8">
        <f t="shared" si="9"/>
        <v>6209.68</v>
      </c>
      <c r="E41" s="8">
        <f t="shared" si="9"/>
        <v>7294.9299999999994</v>
      </c>
      <c r="F41" s="8">
        <f t="shared" si="9"/>
        <v>5820.11</v>
      </c>
      <c r="G41" s="8">
        <f t="shared" si="9"/>
        <v>6003.7900000000009</v>
      </c>
      <c r="H41" s="8">
        <f t="shared" si="9"/>
        <v>9036.909999999998</v>
      </c>
      <c r="I41" s="8">
        <f t="shared" si="9"/>
        <v>5147.82</v>
      </c>
      <c r="J41" s="8">
        <f t="shared" si="9"/>
        <v>9673.090000000002</v>
      </c>
      <c r="K41" s="8">
        <f t="shared" si="9"/>
        <v>7420.14</v>
      </c>
      <c r="L41" s="8">
        <f t="shared" si="9"/>
        <v>7715.39</v>
      </c>
      <c r="M41" s="8">
        <f t="shared" si="9"/>
        <v>6510.7000000000007</v>
      </c>
      <c r="N41" s="8">
        <f t="shared" si="5"/>
        <v>83816.150000000009</v>
      </c>
    </row>
    <row r="42" spans="1:14" x14ac:dyDescent="0.3">
      <c r="A42" s="5" t="s">
        <v>71</v>
      </c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7">
        <f t="shared" si="5"/>
        <v>0</v>
      </c>
    </row>
    <row r="43" spans="1:14" x14ac:dyDescent="0.3">
      <c r="A43" s="5" t="s">
        <v>74</v>
      </c>
      <c r="B43" s="6"/>
      <c r="C43" s="6"/>
      <c r="D43" s="6"/>
      <c r="E43" s="6"/>
      <c r="F43" s="6"/>
      <c r="G43" s="6"/>
      <c r="H43" s="6"/>
      <c r="I43" s="6"/>
      <c r="J43" s="6"/>
      <c r="K43" s="7">
        <f>10</f>
        <v>10</v>
      </c>
      <c r="L43" s="7">
        <f>650</f>
        <v>650</v>
      </c>
      <c r="M43" s="7">
        <f>450</f>
        <v>450</v>
      </c>
      <c r="N43" s="7">
        <f t="shared" si="5"/>
        <v>1110</v>
      </c>
    </row>
    <row r="44" spans="1:14" x14ac:dyDescent="0.3">
      <c r="A44" s="5" t="s">
        <v>76</v>
      </c>
      <c r="B44" s="6"/>
      <c r="C44" s="6"/>
      <c r="D44" s="6"/>
      <c r="E44" s="6"/>
      <c r="F44" s="6"/>
      <c r="G44" s="7">
        <f>49.95</f>
        <v>49.95</v>
      </c>
      <c r="H44" s="7">
        <f>49.95</f>
        <v>49.95</v>
      </c>
      <c r="I44" s="7">
        <f>55.43</f>
        <v>55.43</v>
      </c>
      <c r="J44" s="7">
        <f>59.95</f>
        <v>59.95</v>
      </c>
      <c r="K44" s="7">
        <f>59.95</f>
        <v>59.95</v>
      </c>
      <c r="L44" s="6"/>
      <c r="M44" s="7">
        <f>109.95</f>
        <v>109.95</v>
      </c>
      <c r="N44" s="7">
        <f t="shared" si="5"/>
        <v>385.18</v>
      </c>
    </row>
    <row r="45" spans="1:14" x14ac:dyDescent="0.3">
      <c r="A45" s="5" t="s">
        <v>77</v>
      </c>
      <c r="B45" s="7">
        <f>113.4</f>
        <v>113.4</v>
      </c>
      <c r="C45" s="7">
        <f>76.79</f>
        <v>76.790000000000006</v>
      </c>
      <c r="D45" s="6"/>
      <c r="E45" s="6"/>
      <c r="F45" s="6"/>
      <c r="G45" s="7">
        <f>35</f>
        <v>35</v>
      </c>
      <c r="H45" s="6"/>
      <c r="I45" s="7">
        <f>116</f>
        <v>116</v>
      </c>
      <c r="J45" s="7">
        <f>98</f>
        <v>98</v>
      </c>
      <c r="K45" s="7">
        <f>59</f>
        <v>59</v>
      </c>
      <c r="L45" s="7">
        <f>143.94</f>
        <v>143.94</v>
      </c>
      <c r="M45" s="7">
        <f>1034.48</f>
        <v>1034.48</v>
      </c>
      <c r="N45" s="7">
        <f t="shared" si="5"/>
        <v>1676.6100000000001</v>
      </c>
    </row>
    <row r="46" spans="1:14" x14ac:dyDescent="0.3">
      <c r="A46" s="5" t="s">
        <v>151</v>
      </c>
      <c r="B46" s="7">
        <f>12691.5</f>
        <v>12691.5</v>
      </c>
      <c r="C46" s="7">
        <f>10331.15</f>
        <v>10331.15</v>
      </c>
      <c r="D46" s="7">
        <f>8694.83</f>
        <v>8694.83</v>
      </c>
      <c r="E46" s="7">
        <f>11771.71</f>
        <v>11771.71</v>
      </c>
      <c r="F46" s="7">
        <f>19244.6</f>
        <v>19244.599999999999</v>
      </c>
      <c r="G46" s="7">
        <f>17042.61</f>
        <v>17042.61</v>
      </c>
      <c r="H46" s="7">
        <f>17540.65</f>
        <v>17540.650000000001</v>
      </c>
      <c r="I46" s="7">
        <f>37502.31</f>
        <v>37502.31</v>
      </c>
      <c r="J46" s="7">
        <f>42366.85</f>
        <v>42366.85</v>
      </c>
      <c r="K46" s="7">
        <f>35248.87</f>
        <v>35248.870000000003</v>
      </c>
      <c r="L46" s="7">
        <f>31979.46</f>
        <v>31979.46</v>
      </c>
      <c r="M46" s="7">
        <f>29495.28</f>
        <v>29495.279999999999</v>
      </c>
      <c r="N46" s="7">
        <f t="shared" si="5"/>
        <v>273909.81999999995</v>
      </c>
    </row>
    <row r="47" spans="1:14" x14ac:dyDescent="0.3">
      <c r="A47" s="5" t="s">
        <v>152</v>
      </c>
      <c r="B47" s="7">
        <f>422.18</f>
        <v>422.18</v>
      </c>
      <c r="C47" s="7">
        <f>500.12</f>
        <v>500.12</v>
      </c>
      <c r="D47" s="7">
        <f>1091.91</f>
        <v>1091.9100000000001</v>
      </c>
      <c r="E47" s="7">
        <f>141</f>
        <v>141</v>
      </c>
      <c r="F47" s="7">
        <f>147</f>
        <v>147</v>
      </c>
      <c r="G47" s="7">
        <f>126</f>
        <v>126</v>
      </c>
      <c r="H47" s="7">
        <f>231</f>
        <v>231</v>
      </c>
      <c r="I47" s="7">
        <f>102</f>
        <v>102</v>
      </c>
      <c r="J47" s="7">
        <f>745</f>
        <v>745</v>
      </c>
      <c r="K47" s="7">
        <f>87</f>
        <v>87</v>
      </c>
      <c r="L47" s="7">
        <f>102</f>
        <v>102</v>
      </c>
      <c r="M47" s="6"/>
      <c r="N47" s="7">
        <f t="shared" si="5"/>
        <v>3695.21</v>
      </c>
    </row>
    <row r="48" spans="1:14" x14ac:dyDescent="0.3">
      <c r="A48" s="5" t="s">
        <v>82</v>
      </c>
      <c r="B48" s="8">
        <f t="shared" ref="B48:M48" si="10">(((((B42)+(B43))+(B44))+(B45))+(B46))+(B47)</f>
        <v>13227.08</v>
      </c>
      <c r="C48" s="8">
        <f t="shared" si="10"/>
        <v>10908.060000000001</v>
      </c>
      <c r="D48" s="8">
        <f t="shared" si="10"/>
        <v>9786.74</v>
      </c>
      <c r="E48" s="8">
        <f t="shared" si="10"/>
        <v>11912.71</v>
      </c>
      <c r="F48" s="8">
        <f t="shared" si="10"/>
        <v>19391.599999999999</v>
      </c>
      <c r="G48" s="8">
        <f t="shared" si="10"/>
        <v>17253.560000000001</v>
      </c>
      <c r="H48" s="8">
        <f t="shared" si="10"/>
        <v>17821.600000000002</v>
      </c>
      <c r="I48" s="8">
        <f t="shared" si="10"/>
        <v>37775.74</v>
      </c>
      <c r="J48" s="8">
        <f t="shared" si="10"/>
        <v>43269.799999999996</v>
      </c>
      <c r="K48" s="8">
        <f t="shared" si="10"/>
        <v>35464.82</v>
      </c>
      <c r="L48" s="8">
        <f t="shared" si="10"/>
        <v>32875.4</v>
      </c>
      <c r="M48" s="8">
        <f t="shared" si="10"/>
        <v>31089.71</v>
      </c>
      <c r="N48" s="8">
        <f t="shared" si="5"/>
        <v>280776.82</v>
      </c>
    </row>
    <row r="49" spans="1:14" x14ac:dyDescent="0.3">
      <c r="A49" s="5" t="s">
        <v>83</v>
      </c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7">
        <f t="shared" si="5"/>
        <v>0</v>
      </c>
    </row>
    <row r="50" spans="1:14" x14ac:dyDescent="0.3">
      <c r="A50" s="5" t="s">
        <v>85</v>
      </c>
      <c r="B50" s="7">
        <f>36</f>
        <v>36</v>
      </c>
      <c r="C50" s="7">
        <f>45.6</f>
        <v>45.6</v>
      </c>
      <c r="D50" s="7">
        <f>52</f>
        <v>52</v>
      </c>
      <c r="E50" s="7">
        <f>53.6</f>
        <v>53.6</v>
      </c>
      <c r="F50" s="7">
        <f>48.8</f>
        <v>48.8</v>
      </c>
      <c r="G50" s="6"/>
      <c r="H50" s="7">
        <f>48.8</f>
        <v>48.8</v>
      </c>
      <c r="I50" s="7">
        <f>48.8</f>
        <v>48.8</v>
      </c>
      <c r="J50" s="7">
        <f>48.8</f>
        <v>48.8</v>
      </c>
      <c r="K50" s="6"/>
      <c r="L50" s="6"/>
      <c r="M50" s="6"/>
      <c r="N50" s="7">
        <f t="shared" si="5"/>
        <v>382.40000000000003</v>
      </c>
    </row>
    <row r="51" spans="1:14" x14ac:dyDescent="0.3">
      <c r="A51" s="5" t="s">
        <v>86</v>
      </c>
      <c r="B51" s="7">
        <f>1238.88</f>
        <v>1238.8800000000001</v>
      </c>
      <c r="C51" s="7">
        <f>1326.31</f>
        <v>1326.31</v>
      </c>
      <c r="D51" s="7">
        <f>2093.94</f>
        <v>2093.94</v>
      </c>
      <c r="E51" s="7">
        <f>2039.5</f>
        <v>2039.5</v>
      </c>
      <c r="F51" s="7">
        <f>2602.99</f>
        <v>2602.9899999999998</v>
      </c>
      <c r="G51" s="7">
        <f>1753.67</f>
        <v>1753.67</v>
      </c>
      <c r="H51" s="7">
        <f>1597.53</f>
        <v>1597.53</v>
      </c>
      <c r="I51" s="7">
        <f>1420.84</f>
        <v>1420.84</v>
      </c>
      <c r="J51" s="7">
        <f>1448.35</f>
        <v>1448.35</v>
      </c>
      <c r="K51" s="7">
        <f>2676.71</f>
        <v>2676.71</v>
      </c>
      <c r="L51" s="7">
        <f>1717.58</f>
        <v>1717.58</v>
      </c>
      <c r="M51" s="7">
        <f>1249.02</f>
        <v>1249.02</v>
      </c>
      <c r="N51" s="7">
        <f t="shared" si="5"/>
        <v>21165.320000000003</v>
      </c>
    </row>
    <row r="52" spans="1:14" x14ac:dyDescent="0.3">
      <c r="A52" s="5" t="s">
        <v>87</v>
      </c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7">
        <f t="shared" si="5"/>
        <v>0</v>
      </c>
    </row>
    <row r="53" spans="1:14" x14ac:dyDescent="0.3">
      <c r="A53" s="5" t="s">
        <v>88</v>
      </c>
      <c r="B53" s="7">
        <f>8744.33</f>
        <v>8744.33</v>
      </c>
      <c r="C53" s="7">
        <f>6524.78</f>
        <v>6524.78</v>
      </c>
      <c r="D53" s="7">
        <f>8284.63</f>
        <v>8284.6299999999992</v>
      </c>
      <c r="E53" s="7">
        <f>9269.24</f>
        <v>9269.24</v>
      </c>
      <c r="F53" s="7">
        <f>14153.86</f>
        <v>14153.86</v>
      </c>
      <c r="G53" s="7">
        <f>9519.24</f>
        <v>9519.24</v>
      </c>
      <c r="H53" s="7">
        <f>9519.24</f>
        <v>9519.24</v>
      </c>
      <c r="I53" s="7">
        <f>9057.7</f>
        <v>9057.7000000000007</v>
      </c>
      <c r="J53" s="7">
        <f>10073.45</f>
        <v>10073.450000000001</v>
      </c>
      <c r="K53" s="7">
        <f>16746.9</f>
        <v>16746.900000000001</v>
      </c>
      <c r="L53" s="7">
        <f>9814.82</f>
        <v>9814.82</v>
      </c>
      <c r="M53" s="7">
        <f>11367.7</f>
        <v>11367.7</v>
      </c>
      <c r="N53" s="7">
        <f t="shared" si="5"/>
        <v>123075.89</v>
      </c>
    </row>
    <row r="54" spans="1:14" x14ac:dyDescent="0.3">
      <c r="A54" s="5" t="s">
        <v>89</v>
      </c>
      <c r="B54" s="7">
        <f>17.58</f>
        <v>17.579999999999998</v>
      </c>
      <c r="C54" s="6"/>
      <c r="D54" s="7">
        <f>150</f>
        <v>150</v>
      </c>
      <c r="E54" s="7">
        <f>4703.78</f>
        <v>4703.78</v>
      </c>
      <c r="F54" s="7">
        <f>1238.44</f>
        <v>1238.44</v>
      </c>
      <c r="G54" s="6"/>
      <c r="H54" s="6"/>
      <c r="I54" s="7">
        <f>501.54</f>
        <v>501.54</v>
      </c>
      <c r="J54" s="7">
        <f>461.54</f>
        <v>461.54</v>
      </c>
      <c r="K54" s="7">
        <f>481.54</f>
        <v>481.54</v>
      </c>
      <c r="L54" s="7">
        <f>307.7</f>
        <v>307.7</v>
      </c>
      <c r="M54" s="6"/>
      <c r="N54" s="7">
        <f t="shared" si="5"/>
        <v>7862.119999999999</v>
      </c>
    </row>
    <row r="55" spans="1:14" x14ac:dyDescent="0.3">
      <c r="A55" s="5" t="s">
        <v>91</v>
      </c>
      <c r="B55" s="8">
        <f t="shared" ref="B55:M55" si="11">(B53)+(B54)</f>
        <v>8761.91</v>
      </c>
      <c r="C55" s="8">
        <f t="shared" si="11"/>
        <v>6524.78</v>
      </c>
      <c r="D55" s="8">
        <f t="shared" si="11"/>
        <v>8434.6299999999992</v>
      </c>
      <c r="E55" s="8">
        <f t="shared" si="11"/>
        <v>13973.02</v>
      </c>
      <c r="F55" s="8">
        <f t="shared" si="11"/>
        <v>15392.300000000001</v>
      </c>
      <c r="G55" s="8">
        <f t="shared" si="11"/>
        <v>9519.24</v>
      </c>
      <c r="H55" s="8">
        <f t="shared" si="11"/>
        <v>9519.24</v>
      </c>
      <c r="I55" s="8">
        <f t="shared" si="11"/>
        <v>9559.2400000000016</v>
      </c>
      <c r="J55" s="8">
        <f t="shared" si="11"/>
        <v>10534.990000000002</v>
      </c>
      <c r="K55" s="8">
        <f t="shared" si="11"/>
        <v>17228.440000000002</v>
      </c>
      <c r="L55" s="8">
        <f t="shared" si="11"/>
        <v>10122.52</v>
      </c>
      <c r="M55" s="8">
        <f t="shared" si="11"/>
        <v>11367.7</v>
      </c>
      <c r="N55" s="8">
        <f t="shared" si="5"/>
        <v>130938.01000000001</v>
      </c>
    </row>
    <row r="56" spans="1:14" x14ac:dyDescent="0.3">
      <c r="A56" s="5" t="s">
        <v>95</v>
      </c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7">
        <f t="shared" si="5"/>
        <v>0</v>
      </c>
    </row>
    <row r="57" spans="1:14" x14ac:dyDescent="0.3">
      <c r="A57" s="5" t="s">
        <v>89</v>
      </c>
      <c r="B57" s="6"/>
      <c r="C57" s="6"/>
      <c r="D57" s="6"/>
      <c r="E57" s="7">
        <f>895.95</f>
        <v>895.95</v>
      </c>
      <c r="F57" s="7">
        <f>266.54</f>
        <v>266.54000000000002</v>
      </c>
      <c r="G57" s="6"/>
      <c r="H57" s="6"/>
      <c r="I57" s="6"/>
      <c r="J57" s="6"/>
      <c r="K57" s="6"/>
      <c r="L57" s="6"/>
      <c r="M57" s="6"/>
      <c r="N57" s="7">
        <f t="shared" si="5"/>
        <v>1162.49</v>
      </c>
    </row>
    <row r="58" spans="1:14" x14ac:dyDescent="0.3">
      <c r="A58" s="5" t="s">
        <v>96</v>
      </c>
      <c r="B58" s="8">
        <f t="shared" ref="B58:M58" si="12">(B56)+(B57)</f>
        <v>0</v>
      </c>
      <c r="C58" s="8">
        <f t="shared" si="12"/>
        <v>0</v>
      </c>
      <c r="D58" s="8">
        <f t="shared" si="12"/>
        <v>0</v>
      </c>
      <c r="E58" s="8">
        <f t="shared" si="12"/>
        <v>895.95</v>
      </c>
      <c r="F58" s="8">
        <f t="shared" si="12"/>
        <v>266.54000000000002</v>
      </c>
      <c r="G58" s="8">
        <f t="shared" si="12"/>
        <v>0</v>
      </c>
      <c r="H58" s="8">
        <f t="shared" si="12"/>
        <v>0</v>
      </c>
      <c r="I58" s="8">
        <f t="shared" si="12"/>
        <v>0</v>
      </c>
      <c r="J58" s="8">
        <f t="shared" si="12"/>
        <v>0</v>
      </c>
      <c r="K58" s="8">
        <f t="shared" si="12"/>
        <v>0</v>
      </c>
      <c r="L58" s="8">
        <f t="shared" si="12"/>
        <v>0</v>
      </c>
      <c r="M58" s="8">
        <f t="shared" si="12"/>
        <v>0</v>
      </c>
      <c r="N58" s="8">
        <f t="shared" si="5"/>
        <v>1162.49</v>
      </c>
    </row>
    <row r="59" spans="1:14" x14ac:dyDescent="0.3">
      <c r="A59" s="5" t="s">
        <v>132</v>
      </c>
      <c r="B59" s="7">
        <f>4633.3</f>
        <v>4633.3</v>
      </c>
      <c r="C59" s="7">
        <f>7040.75</f>
        <v>7040.75</v>
      </c>
      <c r="D59" s="7">
        <f>5190.8</f>
        <v>5190.8</v>
      </c>
      <c r="E59" s="7">
        <f>4.96</f>
        <v>4.96</v>
      </c>
      <c r="F59" s="7">
        <f>4438.3</f>
        <v>4438.3</v>
      </c>
      <c r="G59" s="7">
        <f>6759.36</f>
        <v>6759.36</v>
      </c>
      <c r="H59" s="7">
        <f>7179.73</f>
        <v>7179.73</v>
      </c>
      <c r="I59" s="7">
        <f>10446.05</f>
        <v>10446.049999999999</v>
      </c>
      <c r="J59" s="7">
        <f>8112.9</f>
        <v>8112.9</v>
      </c>
      <c r="K59" s="7">
        <f>6203.63</f>
        <v>6203.63</v>
      </c>
      <c r="L59" s="7">
        <f>10611.09</f>
        <v>10611.09</v>
      </c>
      <c r="M59" s="7">
        <f>10212.36</f>
        <v>10212.36</v>
      </c>
      <c r="N59" s="7">
        <f t="shared" si="5"/>
        <v>80833.23</v>
      </c>
    </row>
    <row r="60" spans="1:14" x14ac:dyDescent="0.3">
      <c r="A60" s="5" t="s">
        <v>97</v>
      </c>
      <c r="B60" s="7">
        <f>2570</f>
        <v>2570</v>
      </c>
      <c r="C60" s="7">
        <f>5588.22</f>
        <v>5588.22</v>
      </c>
      <c r="D60" s="7">
        <f>9043.45</f>
        <v>9043.4500000000007</v>
      </c>
      <c r="E60" s="7">
        <f>8908.54</f>
        <v>8908.5400000000009</v>
      </c>
      <c r="F60" s="7">
        <f>13437.7</f>
        <v>13437.7</v>
      </c>
      <c r="G60" s="7">
        <f>9071.32</f>
        <v>9071.32</v>
      </c>
      <c r="H60" s="7">
        <f>9241.27</f>
        <v>9241.27</v>
      </c>
      <c r="I60" s="7">
        <f>8811.8</f>
        <v>8811.7999999999993</v>
      </c>
      <c r="J60" s="7">
        <f>8097.93</f>
        <v>8097.93</v>
      </c>
      <c r="K60" s="7">
        <f>15423.66</f>
        <v>15423.66</v>
      </c>
      <c r="L60" s="7">
        <f>10892.58</f>
        <v>10892.58</v>
      </c>
      <c r="M60" s="7">
        <f>12205.91</f>
        <v>12205.91</v>
      </c>
      <c r="N60" s="7">
        <f t="shared" si="5"/>
        <v>113292.38000000002</v>
      </c>
    </row>
    <row r="61" spans="1:14" x14ac:dyDescent="0.3">
      <c r="A61" s="5" t="s">
        <v>89</v>
      </c>
      <c r="B61" s="7">
        <f>2220.77</f>
        <v>2220.77</v>
      </c>
      <c r="C61" s="7">
        <f>2512</f>
        <v>2512</v>
      </c>
      <c r="D61" s="7">
        <f>720</f>
        <v>720</v>
      </c>
      <c r="E61" s="6"/>
      <c r="F61" s="6"/>
      <c r="G61" s="6"/>
      <c r="H61" s="6"/>
      <c r="I61" s="7">
        <f>520</f>
        <v>520</v>
      </c>
      <c r="J61" s="7">
        <f>930</f>
        <v>930</v>
      </c>
      <c r="K61" s="7">
        <f>820</f>
        <v>820</v>
      </c>
      <c r="L61" s="7">
        <f>500</f>
        <v>500</v>
      </c>
      <c r="M61" s="7">
        <f>60</f>
        <v>60</v>
      </c>
      <c r="N61" s="7">
        <f t="shared" si="5"/>
        <v>8282.77</v>
      </c>
    </row>
    <row r="62" spans="1:14" x14ac:dyDescent="0.3">
      <c r="A62" s="5" t="s">
        <v>98</v>
      </c>
      <c r="B62" s="8">
        <f t="shared" ref="B62:M62" si="13">(B60)+(B61)</f>
        <v>4790.7700000000004</v>
      </c>
      <c r="C62" s="8">
        <f t="shared" si="13"/>
        <v>8100.22</v>
      </c>
      <c r="D62" s="8">
        <f t="shared" si="13"/>
        <v>9763.4500000000007</v>
      </c>
      <c r="E62" s="8">
        <f t="shared" si="13"/>
        <v>8908.5400000000009</v>
      </c>
      <c r="F62" s="8">
        <f t="shared" si="13"/>
        <v>13437.7</v>
      </c>
      <c r="G62" s="8">
        <f t="shared" si="13"/>
        <v>9071.32</v>
      </c>
      <c r="H62" s="8">
        <f t="shared" si="13"/>
        <v>9241.27</v>
      </c>
      <c r="I62" s="8">
        <f t="shared" si="13"/>
        <v>9331.7999999999993</v>
      </c>
      <c r="J62" s="8">
        <f t="shared" si="13"/>
        <v>9027.93</v>
      </c>
      <c r="K62" s="8">
        <f t="shared" si="13"/>
        <v>16243.66</v>
      </c>
      <c r="L62" s="8">
        <f t="shared" si="13"/>
        <v>11392.58</v>
      </c>
      <c r="M62" s="8">
        <f t="shared" si="13"/>
        <v>12265.91</v>
      </c>
      <c r="N62" s="8">
        <f t="shared" si="5"/>
        <v>121575.15000000001</v>
      </c>
    </row>
    <row r="63" spans="1:14" x14ac:dyDescent="0.3">
      <c r="A63" s="5" t="s">
        <v>99</v>
      </c>
      <c r="B63" s="8">
        <f t="shared" ref="B63:M63" si="14">((((B52)+(B55))+(B58))+(B59))+(B62)</f>
        <v>18185.98</v>
      </c>
      <c r="C63" s="8">
        <f t="shared" si="14"/>
        <v>21665.75</v>
      </c>
      <c r="D63" s="8">
        <f t="shared" si="14"/>
        <v>23388.880000000001</v>
      </c>
      <c r="E63" s="8">
        <f t="shared" si="14"/>
        <v>23782.47</v>
      </c>
      <c r="F63" s="8">
        <f t="shared" si="14"/>
        <v>33534.840000000004</v>
      </c>
      <c r="G63" s="8">
        <f t="shared" si="14"/>
        <v>25349.919999999998</v>
      </c>
      <c r="H63" s="8">
        <f t="shared" si="14"/>
        <v>25940.240000000002</v>
      </c>
      <c r="I63" s="8">
        <f t="shared" si="14"/>
        <v>29337.09</v>
      </c>
      <c r="J63" s="8">
        <f t="shared" si="14"/>
        <v>27675.82</v>
      </c>
      <c r="K63" s="8">
        <f t="shared" si="14"/>
        <v>39675.730000000003</v>
      </c>
      <c r="L63" s="8">
        <f t="shared" si="14"/>
        <v>32126.190000000002</v>
      </c>
      <c r="M63" s="8">
        <f t="shared" si="14"/>
        <v>33845.97</v>
      </c>
      <c r="N63" s="8">
        <f t="shared" si="5"/>
        <v>334508.88</v>
      </c>
    </row>
    <row r="64" spans="1:14" x14ac:dyDescent="0.3">
      <c r="A64" s="5" t="s">
        <v>100</v>
      </c>
      <c r="B64" s="8">
        <f t="shared" ref="B64:M64" si="15">(((B49)+(B50))+(B51))+(B63)</f>
        <v>19460.86</v>
      </c>
      <c r="C64" s="8">
        <f t="shared" si="15"/>
        <v>23037.66</v>
      </c>
      <c r="D64" s="8">
        <f t="shared" si="15"/>
        <v>25534.82</v>
      </c>
      <c r="E64" s="8">
        <f t="shared" si="15"/>
        <v>25875.57</v>
      </c>
      <c r="F64" s="8">
        <f t="shared" si="15"/>
        <v>36186.630000000005</v>
      </c>
      <c r="G64" s="8">
        <f t="shared" si="15"/>
        <v>27103.589999999997</v>
      </c>
      <c r="H64" s="8">
        <f t="shared" si="15"/>
        <v>27586.57</v>
      </c>
      <c r="I64" s="8">
        <f t="shared" si="15"/>
        <v>30806.73</v>
      </c>
      <c r="J64" s="8">
        <f t="shared" si="15"/>
        <v>29172.97</v>
      </c>
      <c r="K64" s="8">
        <f t="shared" si="15"/>
        <v>42352.44</v>
      </c>
      <c r="L64" s="8">
        <f t="shared" si="15"/>
        <v>33843.770000000004</v>
      </c>
      <c r="M64" s="8">
        <f t="shared" si="15"/>
        <v>35094.99</v>
      </c>
      <c r="N64" s="8">
        <f t="shared" si="5"/>
        <v>356056.60000000003</v>
      </c>
    </row>
    <row r="65" spans="1:14" x14ac:dyDescent="0.3">
      <c r="A65" s="5" t="s">
        <v>153</v>
      </c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7">
        <f t="shared" si="5"/>
        <v>0</v>
      </c>
    </row>
    <row r="66" spans="1:14" x14ac:dyDescent="0.3">
      <c r="A66" s="5" t="s">
        <v>154</v>
      </c>
      <c r="B66" s="6"/>
      <c r="C66" s="6"/>
      <c r="D66" s="6"/>
      <c r="E66" s="7">
        <f>11681.87</f>
        <v>11681.87</v>
      </c>
      <c r="F66" s="7">
        <f>10184.52</f>
        <v>10184.52</v>
      </c>
      <c r="G66" s="7">
        <f>10883.66</f>
        <v>10883.66</v>
      </c>
      <c r="H66" s="7">
        <f>11303.14</f>
        <v>11303.14</v>
      </c>
      <c r="I66" s="7">
        <f>14240.96</f>
        <v>14240.96</v>
      </c>
      <c r="J66" s="7">
        <f>16985.68</f>
        <v>16985.68</v>
      </c>
      <c r="K66" s="7">
        <f>14672.5</f>
        <v>14672.5</v>
      </c>
      <c r="L66" s="7">
        <f>16727.26</f>
        <v>16727.259999999998</v>
      </c>
      <c r="M66" s="7">
        <f>14421.95</f>
        <v>14421.95</v>
      </c>
      <c r="N66" s="7">
        <f t="shared" si="5"/>
        <v>121101.54</v>
      </c>
    </row>
    <row r="67" spans="1:14" x14ac:dyDescent="0.3">
      <c r="A67" s="5" t="s">
        <v>155</v>
      </c>
      <c r="B67" s="7">
        <f>24600</f>
        <v>24600</v>
      </c>
      <c r="C67" s="7">
        <f>29000</f>
        <v>29000</v>
      </c>
      <c r="D67" s="7">
        <f>12500</f>
        <v>12500</v>
      </c>
      <c r="E67" s="6"/>
      <c r="F67" s="6"/>
      <c r="G67" s="6"/>
      <c r="H67" s="6"/>
      <c r="I67" s="6"/>
      <c r="J67" s="6"/>
      <c r="K67" s="6"/>
      <c r="L67" s="6"/>
      <c r="M67" s="6"/>
      <c r="N67" s="7">
        <f t="shared" si="5"/>
        <v>66100</v>
      </c>
    </row>
    <row r="68" spans="1:14" x14ac:dyDescent="0.3">
      <c r="A68" s="5" t="s">
        <v>156</v>
      </c>
      <c r="B68" s="6"/>
      <c r="C68" s="6"/>
      <c r="D68" s="7">
        <f>0.25</f>
        <v>0.25</v>
      </c>
      <c r="E68" s="7">
        <f>584</f>
        <v>584</v>
      </c>
      <c r="F68" s="7">
        <f>1282.75</f>
        <v>1282.75</v>
      </c>
      <c r="G68" s="7">
        <f>782.5</f>
        <v>782.5</v>
      </c>
      <c r="H68" s="7">
        <f>1983.55</f>
        <v>1983.55</v>
      </c>
      <c r="I68" s="7">
        <f>1467.8</f>
        <v>1467.8</v>
      </c>
      <c r="J68" s="7">
        <f>1642.3</f>
        <v>1642.3</v>
      </c>
      <c r="K68" s="7">
        <f>1825.7</f>
        <v>1825.7</v>
      </c>
      <c r="L68" s="7">
        <f>1677.1</f>
        <v>1677.1</v>
      </c>
      <c r="M68" s="7">
        <f>1859.8</f>
        <v>1859.8</v>
      </c>
      <c r="N68" s="7">
        <f t="shared" si="5"/>
        <v>13105.75</v>
      </c>
    </row>
    <row r="69" spans="1:14" x14ac:dyDescent="0.3">
      <c r="A69" s="5" t="s">
        <v>157</v>
      </c>
      <c r="B69" s="7">
        <f>122.46</f>
        <v>122.46</v>
      </c>
      <c r="C69" s="7">
        <f>139.61</f>
        <v>139.61000000000001</v>
      </c>
      <c r="D69" s="7">
        <f>249.48</f>
        <v>249.48</v>
      </c>
      <c r="E69" s="7">
        <f>102.45</f>
        <v>102.45</v>
      </c>
      <c r="F69" s="6"/>
      <c r="G69" s="6"/>
      <c r="H69" s="6"/>
      <c r="I69" s="6"/>
      <c r="J69" s="6"/>
      <c r="K69" s="6"/>
      <c r="L69" s="6"/>
      <c r="M69" s="6"/>
      <c r="N69" s="7">
        <f t="shared" si="5"/>
        <v>614</v>
      </c>
    </row>
    <row r="70" spans="1:14" x14ac:dyDescent="0.3">
      <c r="A70" s="5" t="s">
        <v>158</v>
      </c>
      <c r="B70" s="7">
        <f>4062.65</f>
        <v>4062.65</v>
      </c>
      <c r="C70" s="7">
        <f>3840.53</f>
        <v>3840.53</v>
      </c>
      <c r="D70" s="7">
        <f>4567.9</f>
        <v>4567.8999999999996</v>
      </c>
      <c r="E70" s="7">
        <f>5305.83</f>
        <v>5305.83</v>
      </c>
      <c r="F70" s="7">
        <f>3782.4</f>
        <v>3782.4</v>
      </c>
      <c r="G70" s="7">
        <f>5297.17</f>
        <v>5297.17</v>
      </c>
      <c r="H70" s="7">
        <f>1778.48</f>
        <v>1778.48</v>
      </c>
      <c r="I70" s="7">
        <f>3710.61</f>
        <v>3710.61</v>
      </c>
      <c r="J70" s="7">
        <f>4314.68</f>
        <v>4314.68</v>
      </c>
      <c r="K70" s="7">
        <f>3744.38</f>
        <v>3744.38</v>
      </c>
      <c r="L70" s="7">
        <f>5188.72</f>
        <v>5188.72</v>
      </c>
      <c r="M70" s="7">
        <f>545.07</f>
        <v>545.07000000000005</v>
      </c>
      <c r="N70" s="7">
        <f t="shared" si="5"/>
        <v>46138.42</v>
      </c>
    </row>
    <row r="71" spans="1:14" x14ac:dyDescent="0.3">
      <c r="A71" s="5" t="s">
        <v>159</v>
      </c>
      <c r="B71" s="6"/>
      <c r="C71" s="6"/>
      <c r="D71" s="7">
        <f>292.2</f>
        <v>292.2</v>
      </c>
      <c r="E71" s="6"/>
      <c r="F71" s="6"/>
      <c r="G71" s="7">
        <f>99</f>
        <v>99</v>
      </c>
      <c r="H71" s="6"/>
      <c r="I71" s="6"/>
      <c r="J71" s="7">
        <f>99</f>
        <v>99</v>
      </c>
      <c r="K71" s="6"/>
      <c r="L71" s="6"/>
      <c r="M71" s="7">
        <f>213.27</f>
        <v>213.27</v>
      </c>
      <c r="N71" s="7">
        <f t="shared" si="5"/>
        <v>703.47</v>
      </c>
    </row>
    <row r="72" spans="1:14" x14ac:dyDescent="0.3">
      <c r="A72" s="5" t="s">
        <v>29</v>
      </c>
      <c r="B72" s="7">
        <f>22.93</f>
        <v>22.93</v>
      </c>
      <c r="C72" s="7">
        <f>360.56</f>
        <v>360.56</v>
      </c>
      <c r="D72" s="7">
        <f>2072.33</f>
        <v>2072.33</v>
      </c>
      <c r="E72" s="7">
        <f>8806.45</f>
        <v>8806.4500000000007</v>
      </c>
      <c r="F72" s="7">
        <f>8800</f>
        <v>8800</v>
      </c>
      <c r="G72" s="7">
        <f>9312.8</f>
        <v>9312.7999999999993</v>
      </c>
      <c r="H72" s="7">
        <f>10000</f>
        <v>10000</v>
      </c>
      <c r="I72" s="7">
        <f>10916.15</f>
        <v>10916.15</v>
      </c>
      <c r="J72" s="7">
        <f>13639.18</f>
        <v>13639.18</v>
      </c>
      <c r="K72" s="7">
        <f>12000</f>
        <v>12000</v>
      </c>
      <c r="L72" s="7">
        <f>14561.55</f>
        <v>14561.55</v>
      </c>
      <c r="M72" s="7">
        <f>12216.7</f>
        <v>12216.7</v>
      </c>
      <c r="N72" s="7">
        <f t="shared" si="5"/>
        <v>102708.65</v>
      </c>
    </row>
    <row r="73" spans="1:14" x14ac:dyDescent="0.3">
      <c r="A73" s="5" t="s">
        <v>160</v>
      </c>
      <c r="B73" s="8">
        <f t="shared" ref="B73:M73" si="16">(((((((B65)+(B66))+(B67))+(B68))+(B69))+(B70))+(B71))+(B72)</f>
        <v>28808.04</v>
      </c>
      <c r="C73" s="8">
        <f t="shared" si="16"/>
        <v>33340.699999999997</v>
      </c>
      <c r="D73" s="8">
        <f t="shared" si="16"/>
        <v>19682.159999999996</v>
      </c>
      <c r="E73" s="8">
        <f t="shared" si="16"/>
        <v>26480.600000000002</v>
      </c>
      <c r="F73" s="8">
        <f t="shared" si="16"/>
        <v>24049.67</v>
      </c>
      <c r="G73" s="8">
        <f t="shared" si="16"/>
        <v>26375.13</v>
      </c>
      <c r="H73" s="8">
        <f t="shared" si="16"/>
        <v>25065.17</v>
      </c>
      <c r="I73" s="8">
        <f t="shared" si="16"/>
        <v>30335.519999999997</v>
      </c>
      <c r="J73" s="8">
        <f t="shared" si="16"/>
        <v>36680.839999999997</v>
      </c>
      <c r="K73" s="8">
        <f t="shared" si="16"/>
        <v>32242.58</v>
      </c>
      <c r="L73" s="8">
        <f t="shared" si="16"/>
        <v>38154.629999999997</v>
      </c>
      <c r="M73" s="8">
        <f t="shared" si="16"/>
        <v>29256.79</v>
      </c>
      <c r="N73" s="8">
        <f t="shared" si="5"/>
        <v>350471.82999999996</v>
      </c>
    </row>
    <row r="74" spans="1:14" x14ac:dyDescent="0.3">
      <c r="A74" s="5" t="s">
        <v>103</v>
      </c>
      <c r="B74" s="8">
        <f t="shared" ref="B74:M74" si="17">((((B20)+(B41))+(B48))+(B64))+(B73)</f>
        <v>70986.59</v>
      </c>
      <c r="C74" s="8">
        <f t="shared" si="17"/>
        <v>80087.48</v>
      </c>
      <c r="D74" s="8">
        <f t="shared" si="17"/>
        <v>66537.98</v>
      </c>
      <c r="E74" s="8">
        <f t="shared" si="17"/>
        <v>76839.59</v>
      </c>
      <c r="F74" s="8">
        <f t="shared" si="17"/>
        <v>90720.01</v>
      </c>
      <c r="G74" s="8">
        <f t="shared" si="17"/>
        <v>82111.58</v>
      </c>
      <c r="H74" s="8">
        <f t="shared" si="17"/>
        <v>85095.43</v>
      </c>
      <c r="I74" s="8">
        <f t="shared" si="17"/>
        <v>109205.57</v>
      </c>
      <c r="J74" s="8">
        <f t="shared" si="17"/>
        <v>126379.35999999999</v>
      </c>
      <c r="K74" s="8">
        <f t="shared" si="17"/>
        <v>122947.62000000001</v>
      </c>
      <c r="L74" s="8">
        <f t="shared" si="17"/>
        <v>118712.16</v>
      </c>
      <c r="M74" s="8">
        <f t="shared" si="17"/>
        <v>107155.55000000002</v>
      </c>
      <c r="N74" s="8">
        <f t="shared" si="5"/>
        <v>1136778.92</v>
      </c>
    </row>
    <row r="75" spans="1:14" x14ac:dyDescent="0.3">
      <c r="A75" s="5" t="s">
        <v>104</v>
      </c>
      <c r="B75" s="8">
        <f t="shared" ref="B75:M75" si="18">(B18)-(B74)</f>
        <v>-11688.580000000002</v>
      </c>
      <c r="C75" s="8">
        <f t="shared" si="18"/>
        <v>9257.1699999999983</v>
      </c>
      <c r="D75" s="8">
        <f t="shared" si="18"/>
        <v>20470.550000000003</v>
      </c>
      <c r="E75" s="8">
        <f t="shared" si="18"/>
        <v>9256.6700000000128</v>
      </c>
      <c r="F75" s="8">
        <f t="shared" si="18"/>
        <v>-10859.939999999988</v>
      </c>
      <c r="G75" s="8">
        <f t="shared" si="18"/>
        <v>13968.389999999985</v>
      </c>
      <c r="H75" s="8">
        <f t="shared" si="18"/>
        <v>182.78000000002794</v>
      </c>
      <c r="I75" s="8">
        <f t="shared" si="18"/>
        <v>-1344.3400000000256</v>
      </c>
      <c r="J75" s="8">
        <f t="shared" si="18"/>
        <v>-21401.229999999981</v>
      </c>
      <c r="K75" s="8">
        <f t="shared" si="18"/>
        <v>-28697.37000000001</v>
      </c>
      <c r="L75" s="8">
        <f t="shared" si="18"/>
        <v>3777.6100000000006</v>
      </c>
      <c r="M75" s="8">
        <f t="shared" si="18"/>
        <v>8119.3499999999767</v>
      </c>
      <c r="N75" s="8">
        <f t="shared" si="5"/>
        <v>-8958.9400000000023</v>
      </c>
    </row>
    <row r="76" spans="1:14" x14ac:dyDescent="0.3">
      <c r="A76" s="5" t="s">
        <v>105</v>
      </c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</row>
    <row r="77" spans="1:14" x14ac:dyDescent="0.3">
      <c r="A77" s="5" t="s">
        <v>106</v>
      </c>
      <c r="B77" s="7">
        <f>0.28</f>
        <v>0.28000000000000003</v>
      </c>
      <c r="C77" s="7">
        <f>0.43</f>
        <v>0.43</v>
      </c>
      <c r="D77" s="7">
        <f>0.36</f>
        <v>0.36</v>
      </c>
      <c r="E77" s="7">
        <f>0.05</f>
        <v>0.05</v>
      </c>
      <c r="F77" s="7">
        <f>0.57</f>
        <v>0.56999999999999995</v>
      </c>
      <c r="G77" s="7">
        <f>0.54</f>
        <v>0.54</v>
      </c>
      <c r="H77" s="7">
        <f>0.54</f>
        <v>0.54</v>
      </c>
      <c r="I77" s="7">
        <f>0.17</f>
        <v>0.17</v>
      </c>
      <c r="J77" s="6"/>
      <c r="K77" s="6"/>
      <c r="L77" s="6"/>
      <c r="M77" s="6"/>
      <c r="N77" s="7">
        <f>(((((((((((B77)+(C77))+(D77))+(E77))+(F77))+(G77))+(H77))+(I77))+(J77))+(K77))+(L77))+(M77)</f>
        <v>2.94</v>
      </c>
    </row>
    <row r="78" spans="1:14" x14ac:dyDescent="0.3">
      <c r="A78" s="5" t="s">
        <v>161</v>
      </c>
      <c r="B78" s="6"/>
      <c r="C78" s="6"/>
      <c r="D78" s="6"/>
      <c r="E78" s="7">
        <f>26.13</f>
        <v>26.13</v>
      </c>
      <c r="F78" s="6"/>
      <c r="G78" s="6"/>
      <c r="H78" s="7">
        <f>0.01</f>
        <v>0.01</v>
      </c>
      <c r="I78" s="6"/>
      <c r="J78" s="6"/>
      <c r="K78" s="7">
        <f>247.14</f>
        <v>247.14</v>
      </c>
      <c r="L78" s="7">
        <f>55.97</f>
        <v>55.97</v>
      </c>
      <c r="M78" s="6"/>
      <c r="N78" s="7">
        <f>(((((((((((B78)+(C78))+(D78))+(E78))+(F78))+(G78))+(H78))+(I78))+(J78))+(K78))+(L78))+(M78)</f>
        <v>329.25</v>
      </c>
    </row>
    <row r="79" spans="1:14" x14ac:dyDescent="0.3">
      <c r="A79" s="5" t="s">
        <v>107</v>
      </c>
      <c r="B79" s="8">
        <f t="shared" ref="B79:M79" si="19">(B77)+(B78)</f>
        <v>0.28000000000000003</v>
      </c>
      <c r="C79" s="8">
        <f t="shared" si="19"/>
        <v>0.43</v>
      </c>
      <c r="D79" s="8">
        <f t="shared" si="19"/>
        <v>0.36</v>
      </c>
      <c r="E79" s="8">
        <f t="shared" si="19"/>
        <v>26.18</v>
      </c>
      <c r="F79" s="8">
        <f t="shared" si="19"/>
        <v>0.56999999999999995</v>
      </c>
      <c r="G79" s="8">
        <f t="shared" si="19"/>
        <v>0.54</v>
      </c>
      <c r="H79" s="8">
        <f t="shared" si="19"/>
        <v>0.55000000000000004</v>
      </c>
      <c r="I79" s="8">
        <f t="shared" si="19"/>
        <v>0.17</v>
      </c>
      <c r="J79" s="8">
        <f t="shared" si="19"/>
        <v>0</v>
      </c>
      <c r="K79" s="8">
        <f t="shared" si="19"/>
        <v>247.14</v>
      </c>
      <c r="L79" s="8">
        <f t="shared" si="19"/>
        <v>55.97</v>
      </c>
      <c r="M79" s="8">
        <f t="shared" si="19"/>
        <v>0</v>
      </c>
      <c r="N79" s="8">
        <f>(((((((((((B79)+(C79))+(D79))+(E79))+(F79))+(G79))+(H79))+(I79))+(J79))+(K79))+(L79))+(M79)</f>
        <v>332.18999999999994</v>
      </c>
    </row>
    <row r="80" spans="1:14" x14ac:dyDescent="0.3">
      <c r="A80" s="5" t="s">
        <v>108</v>
      </c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</row>
    <row r="81" spans="1:14" x14ac:dyDescent="0.3">
      <c r="A81" s="5" t="s">
        <v>109</v>
      </c>
      <c r="B81" s="7">
        <f>382.77</f>
        <v>382.77</v>
      </c>
      <c r="C81" s="7">
        <f>411.78</f>
        <v>411.78</v>
      </c>
      <c r="D81" s="7">
        <f>355.55</f>
        <v>355.55</v>
      </c>
      <c r="E81" s="7">
        <f>351.92</f>
        <v>351.92</v>
      </c>
      <c r="F81" s="7">
        <f>258.74</f>
        <v>258.74</v>
      </c>
      <c r="G81" s="7">
        <f>246.67</f>
        <v>246.67</v>
      </c>
      <c r="H81" s="7">
        <f>222.55</f>
        <v>222.55</v>
      </c>
      <c r="I81" s="7">
        <f>379.41</f>
        <v>379.41</v>
      </c>
      <c r="J81" s="7">
        <f>374.39</f>
        <v>374.39</v>
      </c>
      <c r="K81" s="7">
        <f>450.44</f>
        <v>450.44</v>
      </c>
      <c r="L81" s="7">
        <f>450.73</f>
        <v>450.73</v>
      </c>
      <c r="M81" s="7">
        <f>426.76</f>
        <v>426.76</v>
      </c>
      <c r="N81" s="7">
        <f t="shared" ref="N81:N90" si="20">(((((((((((B81)+(C81))+(D81))+(E81))+(F81))+(G81))+(H81))+(I81))+(J81))+(K81))+(L81))+(M81)</f>
        <v>4311.71</v>
      </c>
    </row>
    <row r="82" spans="1:14" x14ac:dyDescent="0.3">
      <c r="A82" s="5" t="s">
        <v>162</v>
      </c>
      <c r="B82" s="7">
        <f>205.32</f>
        <v>205.32</v>
      </c>
      <c r="C82" s="7">
        <f>175.98</f>
        <v>175.98</v>
      </c>
      <c r="D82" s="7">
        <f>146.28</f>
        <v>146.28</v>
      </c>
      <c r="E82" s="7">
        <f>116.23</f>
        <v>116.23</v>
      </c>
      <c r="F82" s="7">
        <f>85.81</f>
        <v>85.81</v>
      </c>
      <c r="G82" s="7">
        <f>55.03</f>
        <v>55.03</v>
      </c>
      <c r="H82" s="7">
        <f>39.17</f>
        <v>39.17</v>
      </c>
      <c r="I82" s="7">
        <f>26.18</f>
        <v>26.18</v>
      </c>
      <c r="J82" s="7">
        <f>13.14</f>
        <v>13.14</v>
      </c>
      <c r="K82" s="6"/>
      <c r="L82" s="6"/>
      <c r="M82" s="6"/>
      <c r="N82" s="7">
        <f t="shared" si="20"/>
        <v>863.13999999999976</v>
      </c>
    </row>
    <row r="83" spans="1:14" x14ac:dyDescent="0.3">
      <c r="A83" s="5" t="s">
        <v>133</v>
      </c>
      <c r="B83" s="6"/>
      <c r="C83" s="7">
        <f>394.35</f>
        <v>394.35</v>
      </c>
      <c r="D83" s="7">
        <f>526.86</f>
        <v>526.86</v>
      </c>
      <c r="E83" s="7">
        <f>506.48</f>
        <v>506.48</v>
      </c>
      <c r="F83" s="7">
        <f>485.87</f>
        <v>485.87</v>
      </c>
      <c r="G83" s="7">
        <f>465.03</f>
        <v>465.03</v>
      </c>
      <c r="H83" s="7">
        <f>443.97</f>
        <v>443.97</v>
      </c>
      <c r="I83" s="7">
        <f>422.66</f>
        <v>422.66</v>
      </c>
      <c r="J83" s="7">
        <f>401.12</f>
        <v>401.12</v>
      </c>
      <c r="K83" s="7">
        <f>379.34</f>
        <v>379.34</v>
      </c>
      <c r="L83" s="7">
        <f>357.31</f>
        <v>357.31</v>
      </c>
      <c r="M83" s="7">
        <f>335.05</f>
        <v>335.05</v>
      </c>
      <c r="N83" s="7">
        <f t="shared" si="20"/>
        <v>4718.0400000000009</v>
      </c>
    </row>
    <row r="84" spans="1:14" x14ac:dyDescent="0.3">
      <c r="A84" s="5" t="s">
        <v>163</v>
      </c>
      <c r="B84" s="7">
        <f>80.27</f>
        <v>80.27</v>
      </c>
      <c r="C84" s="7">
        <f>64.44</f>
        <v>64.44</v>
      </c>
      <c r="D84" s="7">
        <f>48.48</f>
        <v>48.48</v>
      </c>
      <c r="E84" s="7">
        <f>32.39</f>
        <v>32.39</v>
      </c>
      <c r="F84" s="7">
        <f>16.17</f>
        <v>16.170000000000002</v>
      </c>
      <c r="G84" s="6"/>
      <c r="H84" s="6"/>
      <c r="I84" s="6"/>
      <c r="J84" s="6"/>
      <c r="K84" s="6"/>
      <c r="L84" s="6"/>
      <c r="M84" s="6"/>
      <c r="N84" s="7">
        <f t="shared" si="20"/>
        <v>241.75</v>
      </c>
    </row>
    <row r="85" spans="1:14" x14ac:dyDescent="0.3">
      <c r="A85" s="5" t="s">
        <v>135</v>
      </c>
      <c r="B85" s="7">
        <f>6964.39</f>
        <v>6964.39</v>
      </c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7">
        <f t="shared" si="20"/>
        <v>6964.39</v>
      </c>
    </row>
    <row r="86" spans="1:14" x14ac:dyDescent="0.3">
      <c r="A86" s="5" t="s">
        <v>111</v>
      </c>
      <c r="B86" s="8">
        <f t="shared" ref="B86:M86" si="21">((((B81)+(B82))+(B83))+(B84))+(B85)</f>
        <v>7632.75</v>
      </c>
      <c r="C86" s="8">
        <f t="shared" si="21"/>
        <v>1046.55</v>
      </c>
      <c r="D86" s="8">
        <f t="shared" si="21"/>
        <v>1077.17</v>
      </c>
      <c r="E86" s="8">
        <f t="shared" si="21"/>
        <v>1007.0200000000001</v>
      </c>
      <c r="F86" s="8">
        <f t="shared" si="21"/>
        <v>846.59</v>
      </c>
      <c r="G86" s="8">
        <f t="shared" si="21"/>
        <v>766.73</v>
      </c>
      <c r="H86" s="8">
        <f t="shared" si="21"/>
        <v>705.69</v>
      </c>
      <c r="I86" s="8">
        <f t="shared" si="21"/>
        <v>828.25</v>
      </c>
      <c r="J86" s="8">
        <f t="shared" si="21"/>
        <v>788.65</v>
      </c>
      <c r="K86" s="8">
        <f t="shared" si="21"/>
        <v>829.78</v>
      </c>
      <c r="L86" s="8">
        <f t="shared" si="21"/>
        <v>808.04</v>
      </c>
      <c r="M86" s="8">
        <f t="shared" si="21"/>
        <v>761.81</v>
      </c>
      <c r="N86" s="8">
        <f t="shared" si="20"/>
        <v>17099.030000000002</v>
      </c>
    </row>
    <row r="87" spans="1:14" x14ac:dyDescent="0.3">
      <c r="A87" s="5" t="s">
        <v>112</v>
      </c>
      <c r="B87" s="7">
        <f>2700</f>
        <v>2700</v>
      </c>
      <c r="C87" s="6"/>
      <c r="D87" s="6"/>
      <c r="E87" s="7">
        <f>0</f>
        <v>0</v>
      </c>
      <c r="F87" s="6"/>
      <c r="G87" s="6"/>
      <c r="H87" s="6"/>
      <c r="I87" s="6"/>
      <c r="J87" s="6"/>
      <c r="K87" s="6"/>
      <c r="L87" s="6"/>
      <c r="M87" s="6"/>
      <c r="N87" s="7">
        <f t="shared" si="20"/>
        <v>2700</v>
      </c>
    </row>
    <row r="88" spans="1:14" x14ac:dyDescent="0.3">
      <c r="A88" s="5" t="s">
        <v>113</v>
      </c>
      <c r="B88" s="8">
        <f t="shared" ref="B88:M88" si="22">(B86)+(B87)</f>
        <v>10332.75</v>
      </c>
      <c r="C88" s="8">
        <f t="shared" si="22"/>
        <v>1046.55</v>
      </c>
      <c r="D88" s="8">
        <f t="shared" si="22"/>
        <v>1077.17</v>
      </c>
      <c r="E88" s="8">
        <f t="shared" si="22"/>
        <v>1007.0200000000001</v>
      </c>
      <c r="F88" s="8">
        <f t="shared" si="22"/>
        <v>846.59</v>
      </c>
      <c r="G88" s="8">
        <f t="shared" si="22"/>
        <v>766.73</v>
      </c>
      <c r="H88" s="8">
        <f t="shared" si="22"/>
        <v>705.69</v>
      </c>
      <c r="I88" s="8">
        <f t="shared" si="22"/>
        <v>828.25</v>
      </c>
      <c r="J88" s="8">
        <f t="shared" si="22"/>
        <v>788.65</v>
      </c>
      <c r="K88" s="8">
        <f t="shared" si="22"/>
        <v>829.78</v>
      </c>
      <c r="L88" s="8">
        <f t="shared" si="22"/>
        <v>808.04</v>
      </c>
      <c r="M88" s="8">
        <f t="shared" si="22"/>
        <v>761.81</v>
      </c>
      <c r="N88" s="8">
        <f t="shared" si="20"/>
        <v>19799.030000000002</v>
      </c>
    </row>
    <row r="89" spans="1:14" x14ac:dyDescent="0.3">
      <c r="A89" s="5" t="s">
        <v>114</v>
      </c>
      <c r="B89" s="8">
        <f t="shared" ref="B89:M89" si="23">(B79)-(B88)</f>
        <v>-10332.469999999999</v>
      </c>
      <c r="C89" s="8">
        <f t="shared" si="23"/>
        <v>-1046.1199999999999</v>
      </c>
      <c r="D89" s="8">
        <f t="shared" si="23"/>
        <v>-1076.8100000000002</v>
      </c>
      <c r="E89" s="8">
        <f t="shared" si="23"/>
        <v>-980.84000000000015</v>
      </c>
      <c r="F89" s="8">
        <f t="shared" si="23"/>
        <v>-846.02</v>
      </c>
      <c r="G89" s="8">
        <f t="shared" si="23"/>
        <v>-766.19</v>
      </c>
      <c r="H89" s="8">
        <f t="shared" si="23"/>
        <v>-705.1400000000001</v>
      </c>
      <c r="I89" s="8">
        <f t="shared" si="23"/>
        <v>-828.08</v>
      </c>
      <c r="J89" s="8">
        <f t="shared" si="23"/>
        <v>-788.65</v>
      </c>
      <c r="K89" s="8">
        <f t="shared" si="23"/>
        <v>-582.64</v>
      </c>
      <c r="L89" s="8">
        <f t="shared" si="23"/>
        <v>-752.06999999999994</v>
      </c>
      <c r="M89" s="8">
        <f t="shared" si="23"/>
        <v>-761.81</v>
      </c>
      <c r="N89" s="8">
        <f t="shared" si="20"/>
        <v>-19466.840000000004</v>
      </c>
    </row>
    <row r="90" spans="1:14" x14ac:dyDescent="0.3">
      <c r="A90" s="5" t="s">
        <v>115</v>
      </c>
      <c r="B90" s="8">
        <f t="shared" ref="B90:M90" si="24">(B75)+(B89)</f>
        <v>-22021.050000000003</v>
      </c>
      <c r="C90" s="8">
        <f t="shared" si="24"/>
        <v>8211.0499999999993</v>
      </c>
      <c r="D90" s="8">
        <f t="shared" si="24"/>
        <v>19393.740000000002</v>
      </c>
      <c r="E90" s="8">
        <f t="shared" si="24"/>
        <v>8275.8300000000127</v>
      </c>
      <c r="F90" s="8">
        <f t="shared" si="24"/>
        <v>-11705.959999999988</v>
      </c>
      <c r="G90" s="8">
        <f t="shared" si="24"/>
        <v>13202.199999999984</v>
      </c>
      <c r="H90" s="8">
        <f t="shared" si="24"/>
        <v>-522.35999999997216</v>
      </c>
      <c r="I90" s="8">
        <f t="shared" si="24"/>
        <v>-2172.4200000000255</v>
      </c>
      <c r="J90" s="8">
        <f t="shared" si="24"/>
        <v>-22189.879999999983</v>
      </c>
      <c r="K90" s="8">
        <f t="shared" si="24"/>
        <v>-29280.010000000009</v>
      </c>
      <c r="L90" s="8">
        <f t="shared" si="24"/>
        <v>3025.5400000000009</v>
      </c>
      <c r="M90" s="8">
        <f t="shared" si="24"/>
        <v>7357.5399999999772</v>
      </c>
      <c r="N90" s="8">
        <f t="shared" si="20"/>
        <v>-28425.780000000006</v>
      </c>
    </row>
    <row r="91" spans="1:14" x14ac:dyDescent="0.3">
      <c r="A91" s="5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</row>
    <row r="94" spans="1:14" x14ac:dyDescent="0.3">
      <c r="A94" s="12" t="s">
        <v>164</v>
      </c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3" tint="0.79998168889431442"/>
  </sheetPr>
  <dimension ref="A1:N77"/>
  <sheetViews>
    <sheetView workbookViewId="0"/>
  </sheetViews>
  <sheetFormatPr defaultColWidth="9" defaultRowHeight="14.4" x14ac:dyDescent="0.3"/>
  <cols>
    <col min="1" max="1" width="42.109375" style="2" customWidth="1"/>
    <col min="2" max="2" width="9.44140625" style="2" customWidth="1"/>
    <col min="3" max="3" width="10.33203125" style="2" customWidth="1"/>
    <col min="4" max="5" width="11.109375" style="2" customWidth="1"/>
    <col min="6" max="6" width="10.33203125" style="2" customWidth="1"/>
    <col min="7" max="8" width="11.109375" style="2" customWidth="1"/>
    <col min="9" max="9" width="10.33203125" style="2" customWidth="1"/>
    <col min="10" max="10" width="9.44140625" style="2" customWidth="1"/>
    <col min="11" max="13" width="10.33203125" style="2" customWidth="1"/>
    <col min="14" max="14" width="11.109375" style="2" customWidth="1"/>
    <col min="15" max="16384" width="9" style="2"/>
  </cols>
  <sheetData>
    <row r="1" spans="1:14" ht="17.399999999999999" x14ac:dyDescent="0.3">
      <c r="A1" s="9" t="s">
        <v>1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</row>
    <row r="2" spans="1:14" ht="17.399999999999999" x14ac:dyDescent="0.3">
      <c r="A2" s="9" t="s">
        <v>2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3">
      <c r="A3" s="11" t="s">
        <v>165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</row>
    <row r="5" spans="1:14" x14ac:dyDescent="0.3">
      <c r="A5" s="3"/>
      <c r="B5" s="13">
        <v>42005</v>
      </c>
      <c r="C5" s="13">
        <v>42036</v>
      </c>
      <c r="D5" s="13">
        <v>42064</v>
      </c>
      <c r="E5" s="13">
        <v>42095</v>
      </c>
      <c r="F5" s="13">
        <v>42125</v>
      </c>
      <c r="G5" s="13">
        <v>42156</v>
      </c>
      <c r="H5" s="13">
        <v>42186</v>
      </c>
      <c r="I5" s="13">
        <v>42217</v>
      </c>
      <c r="J5" s="13">
        <v>42248</v>
      </c>
      <c r="K5" s="13">
        <v>42278</v>
      </c>
      <c r="L5" s="13">
        <v>42309</v>
      </c>
      <c r="M5" s="13">
        <v>42339</v>
      </c>
      <c r="N5" s="4">
        <v>2015</v>
      </c>
    </row>
    <row r="6" spans="1:14" x14ac:dyDescent="0.3">
      <c r="A6" s="5" t="s">
        <v>17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</row>
    <row r="7" spans="1:14" x14ac:dyDescent="0.3">
      <c r="A7" s="5" t="s">
        <v>18</v>
      </c>
      <c r="B7" s="7">
        <f>19400.8</f>
        <v>19400.8</v>
      </c>
      <c r="C7" s="7">
        <f>14611.54</f>
        <v>14611.54</v>
      </c>
      <c r="D7" s="7">
        <f>16342.97</f>
        <v>16342.97</v>
      </c>
      <c r="E7" s="7">
        <f>19921.3</f>
        <v>19921.3</v>
      </c>
      <c r="F7" s="7">
        <f>28289.79</f>
        <v>28289.79</v>
      </c>
      <c r="G7" s="7">
        <f>23953.6</f>
        <v>23953.599999999999</v>
      </c>
      <c r="H7" s="7">
        <f>30831.92</f>
        <v>30831.919999999998</v>
      </c>
      <c r="I7" s="7">
        <f>39356.34</f>
        <v>39356.339999999997</v>
      </c>
      <c r="J7" s="7">
        <f>49359.96</f>
        <v>49359.96</v>
      </c>
      <c r="K7" s="7">
        <f>56308.64</f>
        <v>56308.639999999999</v>
      </c>
      <c r="L7" s="7">
        <f>56091.96</f>
        <v>56091.96</v>
      </c>
      <c r="M7" s="7">
        <f>61498.73</f>
        <v>61498.73</v>
      </c>
      <c r="N7" s="7">
        <f>(((((((((((B7)+(C7))+(D7))+(E7))+(F7))+(G7))+(H7))+(I7))+(J7))+(K7))+(L7))+(M7)</f>
        <v>415967.55</v>
      </c>
    </row>
    <row r="8" spans="1:14" x14ac:dyDescent="0.3">
      <c r="A8" s="5" t="s">
        <v>20</v>
      </c>
      <c r="B8" s="8">
        <f t="shared" ref="B8:M8" si="0">B7</f>
        <v>19400.8</v>
      </c>
      <c r="C8" s="8">
        <f t="shared" si="0"/>
        <v>14611.54</v>
      </c>
      <c r="D8" s="8">
        <f t="shared" si="0"/>
        <v>16342.97</v>
      </c>
      <c r="E8" s="8">
        <f t="shared" si="0"/>
        <v>19921.3</v>
      </c>
      <c r="F8" s="8">
        <f t="shared" si="0"/>
        <v>28289.79</v>
      </c>
      <c r="G8" s="8">
        <f t="shared" si="0"/>
        <v>23953.599999999999</v>
      </c>
      <c r="H8" s="8">
        <f t="shared" si="0"/>
        <v>30831.919999999998</v>
      </c>
      <c r="I8" s="8">
        <f t="shared" si="0"/>
        <v>39356.339999999997</v>
      </c>
      <c r="J8" s="8">
        <f t="shared" si="0"/>
        <v>49359.96</v>
      </c>
      <c r="K8" s="8">
        <f t="shared" si="0"/>
        <v>56308.639999999999</v>
      </c>
      <c r="L8" s="8">
        <f t="shared" si="0"/>
        <v>56091.96</v>
      </c>
      <c r="M8" s="8">
        <f t="shared" si="0"/>
        <v>61498.73</v>
      </c>
      <c r="N8" s="8">
        <f>(((((((((((B8)+(C8))+(D8))+(E8))+(F8))+(G8))+(H8))+(I8))+(J8))+(K8))+(L8))+(M8)</f>
        <v>415967.55</v>
      </c>
    </row>
    <row r="9" spans="1:14" x14ac:dyDescent="0.3">
      <c r="A9" s="5" t="s">
        <v>21</v>
      </c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</row>
    <row r="10" spans="1:14" x14ac:dyDescent="0.3">
      <c r="A10" s="5" t="s">
        <v>22</v>
      </c>
      <c r="B10" s="7">
        <f>3609.89</f>
        <v>3609.89</v>
      </c>
      <c r="C10" s="7">
        <f>3537.63</f>
        <v>3537.63</v>
      </c>
      <c r="D10" s="7">
        <f>3866.84</f>
        <v>3866.84</v>
      </c>
      <c r="E10" s="7">
        <f>4344.43</f>
        <v>4344.43</v>
      </c>
      <c r="F10" s="7">
        <f>5373.33</f>
        <v>5373.33</v>
      </c>
      <c r="G10" s="7">
        <f>6788.74</f>
        <v>6788.74</v>
      </c>
      <c r="H10" s="7">
        <f>5265.08</f>
        <v>5265.08</v>
      </c>
      <c r="I10" s="7">
        <f>6519.54</f>
        <v>6519.54</v>
      </c>
      <c r="J10" s="7">
        <f>6530.95</f>
        <v>6530.95</v>
      </c>
      <c r="K10" s="7">
        <f>8697.58</f>
        <v>8697.58</v>
      </c>
      <c r="L10" s="7">
        <f>9476.61</f>
        <v>9476.61</v>
      </c>
      <c r="M10" s="7">
        <f>10888.81</f>
        <v>10888.81</v>
      </c>
      <c r="N10" s="7">
        <f t="shared" ref="N10:N15" si="1">(((((((((((B10)+(C10))+(D10))+(E10))+(F10))+(G10))+(H10))+(I10))+(J10))+(K10))+(L10))+(M10)</f>
        <v>74899.430000000008</v>
      </c>
    </row>
    <row r="11" spans="1:14" x14ac:dyDescent="0.3">
      <c r="A11" s="5" t="s">
        <v>24</v>
      </c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7">
        <f t="shared" si="1"/>
        <v>0</v>
      </c>
    </row>
    <row r="12" spans="1:14" x14ac:dyDescent="0.3">
      <c r="A12" s="5" t="s">
        <v>28</v>
      </c>
      <c r="B12" s="6"/>
      <c r="C12" s="6"/>
      <c r="D12" s="6"/>
      <c r="E12" s="6"/>
      <c r="F12" s="6"/>
      <c r="G12" s="6"/>
      <c r="H12" s="6"/>
      <c r="I12" s="6"/>
      <c r="J12" s="6"/>
      <c r="K12" s="6"/>
      <c r="L12" s="7">
        <f>670</f>
        <v>670</v>
      </c>
      <c r="M12" s="6"/>
      <c r="N12" s="7">
        <f t="shared" si="1"/>
        <v>670</v>
      </c>
    </row>
    <row r="13" spans="1:14" x14ac:dyDescent="0.3">
      <c r="A13" s="5" t="s">
        <v>30</v>
      </c>
      <c r="B13" s="8">
        <f t="shared" ref="B13:M13" si="2">(B11)+(B12)</f>
        <v>0</v>
      </c>
      <c r="C13" s="8">
        <f t="shared" si="2"/>
        <v>0</v>
      </c>
      <c r="D13" s="8">
        <f t="shared" si="2"/>
        <v>0</v>
      </c>
      <c r="E13" s="8">
        <f t="shared" si="2"/>
        <v>0</v>
      </c>
      <c r="F13" s="8">
        <f t="shared" si="2"/>
        <v>0</v>
      </c>
      <c r="G13" s="8">
        <f t="shared" si="2"/>
        <v>0</v>
      </c>
      <c r="H13" s="8">
        <f t="shared" si="2"/>
        <v>0</v>
      </c>
      <c r="I13" s="8">
        <f t="shared" si="2"/>
        <v>0</v>
      </c>
      <c r="J13" s="8">
        <f t="shared" si="2"/>
        <v>0</v>
      </c>
      <c r="K13" s="8">
        <f t="shared" si="2"/>
        <v>0</v>
      </c>
      <c r="L13" s="8">
        <f t="shared" si="2"/>
        <v>670</v>
      </c>
      <c r="M13" s="8">
        <f t="shared" si="2"/>
        <v>0</v>
      </c>
      <c r="N13" s="8">
        <f t="shared" si="1"/>
        <v>670</v>
      </c>
    </row>
    <row r="14" spans="1:14" x14ac:dyDescent="0.3">
      <c r="A14" s="5" t="s">
        <v>35</v>
      </c>
      <c r="B14" s="8">
        <f t="shared" ref="B14:M14" si="3">(B10)+(B13)</f>
        <v>3609.89</v>
      </c>
      <c r="C14" s="8">
        <f t="shared" si="3"/>
        <v>3537.63</v>
      </c>
      <c r="D14" s="8">
        <f t="shared" si="3"/>
        <v>3866.84</v>
      </c>
      <c r="E14" s="8">
        <f t="shared" si="3"/>
        <v>4344.43</v>
      </c>
      <c r="F14" s="8">
        <f t="shared" si="3"/>
        <v>5373.33</v>
      </c>
      <c r="G14" s="8">
        <f t="shared" si="3"/>
        <v>6788.74</v>
      </c>
      <c r="H14" s="8">
        <f t="shared" si="3"/>
        <v>5265.08</v>
      </c>
      <c r="I14" s="8">
        <f t="shared" si="3"/>
        <v>6519.54</v>
      </c>
      <c r="J14" s="8">
        <f t="shared" si="3"/>
        <v>6530.95</v>
      </c>
      <c r="K14" s="8">
        <f t="shared" si="3"/>
        <v>8697.58</v>
      </c>
      <c r="L14" s="8">
        <f t="shared" si="3"/>
        <v>10146.61</v>
      </c>
      <c r="M14" s="8">
        <f t="shared" si="3"/>
        <v>10888.81</v>
      </c>
      <c r="N14" s="8">
        <f t="shared" si="1"/>
        <v>75569.430000000008</v>
      </c>
    </row>
    <row r="15" spans="1:14" x14ac:dyDescent="0.3">
      <c r="A15" s="5" t="s">
        <v>36</v>
      </c>
      <c r="B15" s="8">
        <f t="shared" ref="B15:M15" si="4">(B8)-(B14)</f>
        <v>15790.91</v>
      </c>
      <c r="C15" s="8">
        <f t="shared" si="4"/>
        <v>11073.91</v>
      </c>
      <c r="D15" s="8">
        <f t="shared" si="4"/>
        <v>12476.13</v>
      </c>
      <c r="E15" s="8">
        <f t="shared" si="4"/>
        <v>15576.869999999999</v>
      </c>
      <c r="F15" s="8">
        <f t="shared" si="4"/>
        <v>22916.46</v>
      </c>
      <c r="G15" s="8">
        <f t="shared" si="4"/>
        <v>17164.86</v>
      </c>
      <c r="H15" s="8">
        <f t="shared" si="4"/>
        <v>25566.839999999997</v>
      </c>
      <c r="I15" s="8">
        <f t="shared" si="4"/>
        <v>32836.799999999996</v>
      </c>
      <c r="J15" s="8">
        <f t="shared" si="4"/>
        <v>42829.01</v>
      </c>
      <c r="K15" s="8">
        <f t="shared" si="4"/>
        <v>47611.06</v>
      </c>
      <c r="L15" s="8">
        <f t="shared" si="4"/>
        <v>45945.35</v>
      </c>
      <c r="M15" s="8">
        <f t="shared" si="4"/>
        <v>50609.920000000006</v>
      </c>
      <c r="N15" s="8">
        <f t="shared" si="1"/>
        <v>340398.12</v>
      </c>
    </row>
    <row r="16" spans="1:14" x14ac:dyDescent="0.3">
      <c r="A16" s="5" t="s">
        <v>37</v>
      </c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</row>
    <row r="17" spans="1:14" x14ac:dyDescent="0.3">
      <c r="A17" s="5" t="s">
        <v>178</v>
      </c>
      <c r="B17" s="7">
        <f>1060</f>
        <v>1060</v>
      </c>
      <c r="C17" s="7">
        <f>440</f>
        <v>440</v>
      </c>
      <c r="D17" s="7">
        <f>980</f>
        <v>980</v>
      </c>
      <c r="E17" s="6"/>
      <c r="F17" s="7">
        <f>75</f>
        <v>75</v>
      </c>
      <c r="G17" s="6"/>
      <c r="H17" s="7">
        <f>645</f>
        <v>645</v>
      </c>
      <c r="I17" s="7">
        <f>632</f>
        <v>632</v>
      </c>
      <c r="J17" s="7">
        <f>1040</f>
        <v>1040</v>
      </c>
      <c r="K17" s="7">
        <f>550</f>
        <v>550</v>
      </c>
      <c r="L17" s="7">
        <f>687</f>
        <v>687</v>
      </c>
      <c r="M17" s="7">
        <f>1421</f>
        <v>1421</v>
      </c>
      <c r="N17" s="7">
        <f t="shared" ref="N17:N61" si="5">(((((((((((B17)+(C17))+(D17))+(E17))+(F17))+(G17))+(H17))+(I17))+(J17))+(K17))+(L17))+(M17)</f>
        <v>7530</v>
      </c>
    </row>
    <row r="18" spans="1:14" x14ac:dyDescent="0.3">
      <c r="A18" s="5" t="s">
        <v>38</v>
      </c>
      <c r="B18" s="6"/>
      <c r="C18" s="6"/>
      <c r="D18" s="6"/>
      <c r="E18" s="6"/>
      <c r="F18" s="6"/>
      <c r="G18" s="6"/>
      <c r="H18" s="6"/>
      <c r="I18" s="7">
        <f>63.95</f>
        <v>63.95</v>
      </c>
      <c r="J18" s="7">
        <f>63.95</f>
        <v>63.95</v>
      </c>
      <c r="K18" s="7">
        <f>78.5</f>
        <v>78.5</v>
      </c>
      <c r="L18" s="6"/>
      <c r="M18" s="6"/>
      <c r="N18" s="7">
        <f t="shared" si="5"/>
        <v>206.4</v>
      </c>
    </row>
    <row r="19" spans="1:14" x14ac:dyDescent="0.3">
      <c r="A19" s="5" t="s">
        <v>179</v>
      </c>
      <c r="B19" s="6"/>
      <c r="C19" s="7">
        <f>121.1</f>
        <v>121.1</v>
      </c>
      <c r="D19" s="6"/>
      <c r="E19" s="7">
        <f>66.14</f>
        <v>66.14</v>
      </c>
      <c r="F19" s="7">
        <f>45.51</f>
        <v>45.51</v>
      </c>
      <c r="G19" s="7">
        <f>251.92</f>
        <v>251.92</v>
      </c>
      <c r="H19" s="6"/>
      <c r="I19" s="6"/>
      <c r="J19" s="6"/>
      <c r="K19" s="6"/>
      <c r="L19" s="6"/>
      <c r="M19" s="6"/>
      <c r="N19" s="7">
        <f t="shared" si="5"/>
        <v>484.66999999999996</v>
      </c>
    </row>
    <row r="20" spans="1:14" x14ac:dyDescent="0.3">
      <c r="A20" s="5" t="s">
        <v>39</v>
      </c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7">
        <f t="shared" si="5"/>
        <v>0</v>
      </c>
    </row>
    <row r="21" spans="1:14" x14ac:dyDescent="0.3">
      <c r="A21" s="5" t="s">
        <v>40</v>
      </c>
      <c r="B21" s="7">
        <f>-479.91</f>
        <v>-479.91</v>
      </c>
      <c r="C21" s="7">
        <f>11.95</f>
        <v>11.95</v>
      </c>
      <c r="D21" s="7">
        <f>62.29</f>
        <v>62.29</v>
      </c>
      <c r="E21" s="7">
        <f>44.17</f>
        <v>44.17</v>
      </c>
      <c r="F21" s="7">
        <f>33</f>
        <v>33</v>
      </c>
      <c r="G21" s="7">
        <f>13.38</f>
        <v>13.38</v>
      </c>
      <c r="H21" s="7">
        <f>128.5</f>
        <v>128.5</v>
      </c>
      <c r="I21" s="7">
        <f>1036</f>
        <v>1036</v>
      </c>
      <c r="J21" s="7">
        <f>63</f>
        <v>63</v>
      </c>
      <c r="K21" s="7">
        <f>15</f>
        <v>15</v>
      </c>
      <c r="L21" s="7">
        <f>15</f>
        <v>15</v>
      </c>
      <c r="M21" s="7">
        <f>15</f>
        <v>15</v>
      </c>
      <c r="N21" s="7">
        <f t="shared" si="5"/>
        <v>957.38</v>
      </c>
    </row>
    <row r="22" spans="1:14" x14ac:dyDescent="0.3">
      <c r="A22" s="5" t="s">
        <v>130</v>
      </c>
      <c r="B22" s="6"/>
      <c r="C22" s="7">
        <f>15</f>
        <v>15</v>
      </c>
      <c r="D22" s="6"/>
      <c r="E22" s="6"/>
      <c r="F22" s="6"/>
      <c r="G22" s="6"/>
      <c r="H22" s="6"/>
      <c r="I22" s="6"/>
      <c r="J22" s="6"/>
      <c r="K22" s="6"/>
      <c r="L22" s="6"/>
      <c r="M22" s="6"/>
      <c r="N22" s="7">
        <f t="shared" si="5"/>
        <v>15</v>
      </c>
    </row>
    <row r="23" spans="1:14" x14ac:dyDescent="0.3">
      <c r="A23" s="5" t="s">
        <v>180</v>
      </c>
      <c r="B23" s="7">
        <f>774.69</f>
        <v>774.69</v>
      </c>
      <c r="C23" s="7">
        <f>776.07</f>
        <v>776.07</v>
      </c>
      <c r="D23" s="7">
        <f>593.91</f>
        <v>593.91</v>
      </c>
      <c r="E23" s="7">
        <f>607.64</f>
        <v>607.64</v>
      </c>
      <c r="F23" s="7">
        <f>370.25</f>
        <v>370.25</v>
      </c>
      <c r="G23" s="7">
        <f>1394.36</f>
        <v>1394.36</v>
      </c>
      <c r="H23" s="7">
        <f>416.69</f>
        <v>416.69</v>
      </c>
      <c r="I23" s="7">
        <f>808.14</f>
        <v>808.14</v>
      </c>
      <c r="J23" s="7">
        <f>537.27</f>
        <v>537.27</v>
      </c>
      <c r="K23" s="7">
        <f>742.84</f>
        <v>742.84</v>
      </c>
      <c r="L23" s="7">
        <f>489.22</f>
        <v>489.22</v>
      </c>
      <c r="M23" s="7">
        <f>635.94</f>
        <v>635.94000000000005</v>
      </c>
      <c r="N23" s="7">
        <f t="shared" si="5"/>
        <v>8147.02</v>
      </c>
    </row>
    <row r="24" spans="1:14" x14ac:dyDescent="0.3">
      <c r="A24" s="5" t="s">
        <v>44</v>
      </c>
      <c r="B24" s="6"/>
      <c r="C24" s="6"/>
      <c r="D24" s="7">
        <f>48</f>
        <v>48</v>
      </c>
      <c r="E24" s="7">
        <f>188.8</f>
        <v>188.8</v>
      </c>
      <c r="F24" s="6"/>
      <c r="G24" s="6"/>
      <c r="H24" s="7">
        <f>119.1</f>
        <v>119.1</v>
      </c>
      <c r="I24" s="6"/>
      <c r="J24" s="6"/>
      <c r="K24" s="7">
        <f>119.1</f>
        <v>119.1</v>
      </c>
      <c r="L24" s="6"/>
      <c r="M24" s="6"/>
      <c r="N24" s="7">
        <f t="shared" si="5"/>
        <v>475</v>
      </c>
    </row>
    <row r="25" spans="1:14" x14ac:dyDescent="0.3">
      <c r="A25" s="5" t="s">
        <v>46</v>
      </c>
      <c r="B25" s="6"/>
      <c r="C25" s="6"/>
      <c r="D25" s="6"/>
      <c r="E25" s="6"/>
      <c r="F25" s="6"/>
      <c r="G25" s="7">
        <f>301.01</f>
        <v>301.01</v>
      </c>
      <c r="H25" s="7">
        <f>158.81</f>
        <v>158.81</v>
      </c>
      <c r="I25" s="7">
        <f>124.8</f>
        <v>124.8</v>
      </c>
      <c r="J25" s="7">
        <f>170.84</f>
        <v>170.84</v>
      </c>
      <c r="K25" s="7">
        <f>122.55</f>
        <v>122.55</v>
      </c>
      <c r="L25" s="7">
        <f>90</f>
        <v>90</v>
      </c>
      <c r="M25" s="7">
        <f>445</f>
        <v>445</v>
      </c>
      <c r="N25" s="7">
        <f t="shared" si="5"/>
        <v>1413.01</v>
      </c>
    </row>
    <row r="26" spans="1:14" x14ac:dyDescent="0.3">
      <c r="A26" s="5" t="s">
        <v>54</v>
      </c>
      <c r="B26" s="7">
        <f>395.76</f>
        <v>395.76</v>
      </c>
      <c r="C26" s="7">
        <f>272.42</f>
        <v>272.42</v>
      </c>
      <c r="D26" s="7">
        <f>905.22</f>
        <v>905.22</v>
      </c>
      <c r="E26" s="7">
        <f>393.85</f>
        <v>393.85</v>
      </c>
      <c r="F26" s="7">
        <f>218.85</f>
        <v>218.85</v>
      </c>
      <c r="G26" s="7">
        <f>132.65</f>
        <v>132.65</v>
      </c>
      <c r="H26" s="7">
        <f>340.61</f>
        <v>340.61</v>
      </c>
      <c r="I26" s="7">
        <f>35.18</f>
        <v>35.18</v>
      </c>
      <c r="J26" s="6"/>
      <c r="K26" s="7">
        <f>567</f>
        <v>567</v>
      </c>
      <c r="L26" s="7">
        <f>447</f>
        <v>447</v>
      </c>
      <c r="M26" s="7">
        <f>247</f>
        <v>247</v>
      </c>
      <c r="N26" s="7">
        <f t="shared" si="5"/>
        <v>3955.54</v>
      </c>
    </row>
    <row r="27" spans="1:14" x14ac:dyDescent="0.3">
      <c r="A27" s="5" t="s">
        <v>60</v>
      </c>
      <c r="B27" s="7">
        <f>1114.6</f>
        <v>1114.5999999999999</v>
      </c>
      <c r="C27" s="7">
        <f>281</f>
        <v>281</v>
      </c>
      <c r="D27" s="7">
        <f>941.12</f>
        <v>941.12</v>
      </c>
      <c r="E27" s="7">
        <f>1207</f>
        <v>1207</v>
      </c>
      <c r="F27" s="7">
        <f>1238</f>
        <v>1238</v>
      </c>
      <c r="G27" s="7">
        <f>1368</f>
        <v>1368</v>
      </c>
      <c r="H27" s="7">
        <f>1465</f>
        <v>1465</v>
      </c>
      <c r="I27" s="7">
        <f>2160</f>
        <v>2160</v>
      </c>
      <c r="J27" s="6"/>
      <c r="K27" s="7">
        <f>1080</f>
        <v>1080</v>
      </c>
      <c r="L27" s="7">
        <f>1080</f>
        <v>1080</v>
      </c>
      <c r="M27" s="7">
        <f>2533.9</f>
        <v>2533.9</v>
      </c>
      <c r="N27" s="7">
        <f t="shared" si="5"/>
        <v>14468.619999999999</v>
      </c>
    </row>
    <row r="28" spans="1:14" x14ac:dyDescent="0.3">
      <c r="A28" s="5" t="s">
        <v>61</v>
      </c>
      <c r="B28" s="7">
        <f>279.17</f>
        <v>279.17</v>
      </c>
      <c r="C28" s="7">
        <f>237.87</f>
        <v>237.87</v>
      </c>
      <c r="D28" s="7">
        <f>397.18</f>
        <v>397.18</v>
      </c>
      <c r="E28" s="7">
        <f>397.92</f>
        <v>397.92</v>
      </c>
      <c r="F28" s="7">
        <f>364.47</f>
        <v>364.47</v>
      </c>
      <c r="G28" s="7">
        <f>402.48</f>
        <v>402.48</v>
      </c>
      <c r="H28" s="7">
        <f>432.04</f>
        <v>432.04</v>
      </c>
      <c r="I28" s="7">
        <f>359.47</f>
        <v>359.47</v>
      </c>
      <c r="J28" s="7">
        <f>442.47</f>
        <v>442.47</v>
      </c>
      <c r="K28" s="7">
        <f>506.46</f>
        <v>506.46</v>
      </c>
      <c r="L28" s="7">
        <f>444.63</f>
        <v>444.63</v>
      </c>
      <c r="M28" s="7">
        <f>419.47</f>
        <v>419.47</v>
      </c>
      <c r="N28" s="7">
        <f t="shared" si="5"/>
        <v>4683.630000000001</v>
      </c>
    </row>
    <row r="29" spans="1:14" x14ac:dyDescent="0.3">
      <c r="A29" s="5" t="s">
        <v>62</v>
      </c>
      <c r="B29" s="7">
        <f>29.99</f>
        <v>29.99</v>
      </c>
      <c r="C29" s="7">
        <f>121.31</f>
        <v>121.31</v>
      </c>
      <c r="D29" s="6"/>
      <c r="E29" s="6"/>
      <c r="F29" s="6"/>
      <c r="G29" s="6"/>
      <c r="H29" s="6"/>
      <c r="I29" s="6"/>
      <c r="J29" s="7">
        <f>6.5</f>
        <v>6.5</v>
      </c>
      <c r="K29" s="6"/>
      <c r="L29" s="6"/>
      <c r="M29" s="6"/>
      <c r="N29" s="7">
        <f t="shared" si="5"/>
        <v>157.80000000000001</v>
      </c>
    </row>
    <row r="30" spans="1:14" x14ac:dyDescent="0.3">
      <c r="A30" s="5" t="s">
        <v>63</v>
      </c>
      <c r="B30" s="6"/>
      <c r="C30" s="6"/>
      <c r="D30" s="6"/>
      <c r="E30" s="6"/>
      <c r="F30" s="6"/>
      <c r="G30" s="6"/>
      <c r="H30" s="6"/>
      <c r="I30" s="6"/>
      <c r="J30" s="6"/>
      <c r="K30" s="7">
        <f>582</f>
        <v>582</v>
      </c>
      <c r="L30" s="6"/>
      <c r="M30" s="6"/>
      <c r="N30" s="7">
        <f t="shared" si="5"/>
        <v>582</v>
      </c>
    </row>
    <row r="31" spans="1:14" x14ac:dyDescent="0.3">
      <c r="A31" s="5" t="s">
        <v>64</v>
      </c>
      <c r="B31" s="7">
        <f>195.56</f>
        <v>195.56</v>
      </c>
      <c r="C31" s="7">
        <f>641.62</f>
        <v>641.62</v>
      </c>
      <c r="D31" s="7">
        <f>1214.57</f>
        <v>1214.57</v>
      </c>
      <c r="E31" s="7">
        <f>657.6</f>
        <v>657.6</v>
      </c>
      <c r="F31" s="7">
        <f>956.11</f>
        <v>956.11</v>
      </c>
      <c r="G31" s="7">
        <f>204.57</f>
        <v>204.57</v>
      </c>
      <c r="H31" s="7">
        <f>2</f>
        <v>2</v>
      </c>
      <c r="I31" s="7">
        <f>66.87</f>
        <v>66.87</v>
      </c>
      <c r="J31" s="7">
        <f>45.03</f>
        <v>45.03</v>
      </c>
      <c r="K31" s="7">
        <f>121.39</f>
        <v>121.39</v>
      </c>
      <c r="L31" s="7">
        <f>655.74</f>
        <v>655.74</v>
      </c>
      <c r="M31" s="7">
        <f>2</f>
        <v>2</v>
      </c>
      <c r="N31" s="7">
        <f t="shared" si="5"/>
        <v>4763.0600000000004</v>
      </c>
    </row>
    <row r="32" spans="1:14" x14ac:dyDescent="0.3">
      <c r="A32" s="5" t="s">
        <v>65</v>
      </c>
      <c r="B32" s="6"/>
      <c r="C32" s="7">
        <f>355.01</f>
        <v>355.01</v>
      </c>
      <c r="D32" s="7">
        <f>355.5</f>
        <v>355.5</v>
      </c>
      <c r="E32" s="7">
        <f>616.57</f>
        <v>616.57000000000005</v>
      </c>
      <c r="F32" s="7">
        <f>673.47</f>
        <v>673.47</v>
      </c>
      <c r="G32" s="7">
        <f>303.27</f>
        <v>303.27</v>
      </c>
      <c r="H32" s="7">
        <f>20.65</f>
        <v>20.65</v>
      </c>
      <c r="I32" s="7">
        <f>43.28</f>
        <v>43.28</v>
      </c>
      <c r="J32" s="7">
        <f>78.03</f>
        <v>78.03</v>
      </c>
      <c r="K32" s="7">
        <f>85.45</f>
        <v>85.45</v>
      </c>
      <c r="L32" s="7">
        <f>28.09</f>
        <v>28.09</v>
      </c>
      <c r="M32" s="7">
        <f>178.77</f>
        <v>178.77</v>
      </c>
      <c r="N32" s="7">
        <f t="shared" si="5"/>
        <v>2738.09</v>
      </c>
    </row>
    <row r="33" spans="1:14" x14ac:dyDescent="0.3">
      <c r="A33" s="5" t="s">
        <v>66</v>
      </c>
      <c r="B33" s="8">
        <f t="shared" ref="B33:M33" si="6">(B31)+(B32)</f>
        <v>195.56</v>
      </c>
      <c r="C33" s="8">
        <f t="shared" si="6"/>
        <v>996.63</v>
      </c>
      <c r="D33" s="8">
        <f t="shared" si="6"/>
        <v>1570.07</v>
      </c>
      <c r="E33" s="8">
        <f t="shared" si="6"/>
        <v>1274.17</v>
      </c>
      <c r="F33" s="8">
        <f t="shared" si="6"/>
        <v>1629.58</v>
      </c>
      <c r="G33" s="8">
        <f t="shared" si="6"/>
        <v>507.84</v>
      </c>
      <c r="H33" s="8">
        <f t="shared" si="6"/>
        <v>22.65</v>
      </c>
      <c r="I33" s="8">
        <f t="shared" si="6"/>
        <v>110.15</v>
      </c>
      <c r="J33" s="8">
        <f t="shared" si="6"/>
        <v>123.06</v>
      </c>
      <c r="K33" s="8">
        <f t="shared" si="6"/>
        <v>206.84</v>
      </c>
      <c r="L33" s="8">
        <f t="shared" si="6"/>
        <v>683.83</v>
      </c>
      <c r="M33" s="8">
        <f t="shared" si="6"/>
        <v>180.77</v>
      </c>
      <c r="N33" s="8">
        <f t="shared" si="5"/>
        <v>7501.1500000000005</v>
      </c>
    </row>
    <row r="34" spans="1:14" x14ac:dyDescent="0.3">
      <c r="A34" s="5" t="s">
        <v>67</v>
      </c>
      <c r="B34" s="7">
        <f>90</f>
        <v>90</v>
      </c>
      <c r="C34" s="7">
        <f>45</f>
        <v>45</v>
      </c>
      <c r="D34" s="7">
        <f>45</f>
        <v>45</v>
      </c>
      <c r="E34" s="7">
        <f>45</f>
        <v>45</v>
      </c>
      <c r="F34" s="7">
        <f>45</f>
        <v>45</v>
      </c>
      <c r="G34" s="7">
        <f>45</f>
        <v>45</v>
      </c>
      <c r="H34" s="6"/>
      <c r="I34" s="7">
        <f>113.5</f>
        <v>113.5</v>
      </c>
      <c r="J34" s="7">
        <f>176</f>
        <v>176</v>
      </c>
      <c r="K34" s="7">
        <f>213</f>
        <v>213</v>
      </c>
      <c r="L34" s="7">
        <f>200</f>
        <v>200</v>
      </c>
      <c r="M34" s="6"/>
      <c r="N34" s="7">
        <f t="shared" si="5"/>
        <v>1017.5</v>
      </c>
    </row>
    <row r="35" spans="1:14" x14ac:dyDescent="0.3">
      <c r="A35" s="5" t="s">
        <v>68</v>
      </c>
      <c r="B35" s="7">
        <f>348.37</f>
        <v>348.37</v>
      </c>
      <c r="C35" s="7">
        <f>203.49</f>
        <v>203.49</v>
      </c>
      <c r="D35" s="6"/>
      <c r="E35" s="6"/>
      <c r="F35" s="7">
        <f>331.07</f>
        <v>331.07</v>
      </c>
      <c r="G35" s="7">
        <f>107.59</f>
        <v>107.59</v>
      </c>
      <c r="H35" s="7">
        <f>54</f>
        <v>54</v>
      </c>
      <c r="I35" s="6"/>
      <c r="J35" s="7">
        <f>517.3</f>
        <v>517.29999999999995</v>
      </c>
      <c r="K35" s="7">
        <f>10.8</f>
        <v>10.8</v>
      </c>
      <c r="L35" s="6"/>
      <c r="M35" s="7">
        <f>13.05</f>
        <v>13.05</v>
      </c>
      <c r="N35" s="7">
        <f t="shared" si="5"/>
        <v>1585.6699999999998</v>
      </c>
    </row>
    <row r="36" spans="1:14" x14ac:dyDescent="0.3">
      <c r="A36" s="5" t="s">
        <v>181</v>
      </c>
      <c r="B36" s="6"/>
      <c r="C36" s="6"/>
      <c r="D36" s="6"/>
      <c r="E36" s="6"/>
      <c r="F36" s="7">
        <f>60.62</f>
        <v>60.62</v>
      </c>
      <c r="G36" s="7">
        <f>21.53</f>
        <v>21.53</v>
      </c>
      <c r="H36" s="7">
        <f>21.51</f>
        <v>21.51</v>
      </c>
      <c r="I36" s="7">
        <f>210.78</f>
        <v>210.78</v>
      </c>
      <c r="J36" s="7">
        <f>25.62</f>
        <v>25.62</v>
      </c>
      <c r="K36" s="7">
        <f>25.59</f>
        <v>25.59</v>
      </c>
      <c r="L36" s="7">
        <f>36.13</f>
        <v>36.130000000000003</v>
      </c>
      <c r="M36" s="7">
        <f>210.99</f>
        <v>210.99</v>
      </c>
      <c r="N36" s="7">
        <f t="shared" si="5"/>
        <v>612.77</v>
      </c>
    </row>
    <row r="37" spans="1:14" x14ac:dyDescent="0.3">
      <c r="A37" s="5" t="s">
        <v>69</v>
      </c>
      <c r="B37" s="8">
        <f t="shared" ref="B37:M37" si="7">((((((((((((((B20)+(B21))+(B22))+(B23))+(B24))+(B25))+(B26))+(B27))+(B28))+(B29))+(B30))+(B33))+(B34))+(B35))+(B36)</f>
        <v>2748.2299999999996</v>
      </c>
      <c r="C37" s="8">
        <f t="shared" si="7"/>
        <v>2960.74</v>
      </c>
      <c r="D37" s="8">
        <f t="shared" si="7"/>
        <v>4562.79</v>
      </c>
      <c r="E37" s="8">
        <f t="shared" si="7"/>
        <v>4158.55</v>
      </c>
      <c r="F37" s="8">
        <f t="shared" si="7"/>
        <v>4290.8399999999992</v>
      </c>
      <c r="G37" s="8">
        <f t="shared" si="7"/>
        <v>4293.84</v>
      </c>
      <c r="H37" s="8">
        <f t="shared" si="7"/>
        <v>3158.9100000000003</v>
      </c>
      <c r="I37" s="8">
        <f t="shared" si="7"/>
        <v>4958.0199999999995</v>
      </c>
      <c r="J37" s="8">
        <f t="shared" si="7"/>
        <v>2062.06</v>
      </c>
      <c r="K37" s="8">
        <f t="shared" si="7"/>
        <v>4191.18</v>
      </c>
      <c r="L37" s="8">
        <f t="shared" si="7"/>
        <v>3485.8100000000004</v>
      </c>
      <c r="M37" s="8">
        <f t="shared" si="7"/>
        <v>4701.1200000000008</v>
      </c>
      <c r="N37" s="8">
        <f t="shared" si="5"/>
        <v>45572.09</v>
      </c>
    </row>
    <row r="38" spans="1:14" x14ac:dyDescent="0.3">
      <c r="A38" s="5" t="s">
        <v>182</v>
      </c>
      <c r="B38" s="7">
        <f>119.04</f>
        <v>119.04</v>
      </c>
      <c r="C38" s="7">
        <f>63.53</f>
        <v>63.53</v>
      </c>
      <c r="D38" s="7">
        <f>91.53</f>
        <v>91.53</v>
      </c>
      <c r="E38" s="7">
        <f>63.53</f>
        <v>63.53</v>
      </c>
      <c r="F38" s="7">
        <f>91.53</f>
        <v>91.53</v>
      </c>
      <c r="G38" s="7">
        <f>207.52</f>
        <v>207.52</v>
      </c>
      <c r="H38" s="7">
        <f>87.53</f>
        <v>87.53</v>
      </c>
      <c r="I38" s="7">
        <f>105.53</f>
        <v>105.53</v>
      </c>
      <c r="J38" s="7">
        <f>87.53</f>
        <v>87.53</v>
      </c>
      <c r="K38" s="7">
        <f>98.19</f>
        <v>98.19</v>
      </c>
      <c r="L38" s="7">
        <f>98.19</f>
        <v>98.19</v>
      </c>
      <c r="M38" s="7">
        <f>83.26</f>
        <v>83.26</v>
      </c>
      <c r="N38" s="7">
        <f t="shared" si="5"/>
        <v>1196.9099999999999</v>
      </c>
    </row>
    <row r="39" spans="1:14" x14ac:dyDescent="0.3">
      <c r="A39" s="5" t="s">
        <v>183</v>
      </c>
      <c r="B39" s="6"/>
      <c r="C39" s="6"/>
      <c r="D39" s="7">
        <f>360</f>
        <v>360</v>
      </c>
      <c r="E39" s="6"/>
      <c r="F39" s="6"/>
      <c r="G39" s="6"/>
      <c r="H39" s="6"/>
      <c r="I39" s="6"/>
      <c r="J39" s="7">
        <f>149</f>
        <v>149</v>
      </c>
      <c r="K39" s="7">
        <f>675</f>
        <v>675</v>
      </c>
      <c r="L39" s="6"/>
      <c r="M39" s="6"/>
      <c r="N39" s="7">
        <f t="shared" si="5"/>
        <v>1184</v>
      </c>
    </row>
    <row r="40" spans="1:14" x14ac:dyDescent="0.3">
      <c r="A40" s="5" t="s">
        <v>71</v>
      </c>
      <c r="B40" s="7">
        <f>538.56</f>
        <v>538.55999999999995</v>
      </c>
      <c r="C40" s="7">
        <f>1140.57</f>
        <v>1140.57</v>
      </c>
      <c r="D40" s="7">
        <f>3393.73</f>
        <v>3393.73</v>
      </c>
      <c r="E40" s="7">
        <f>1882.69</f>
        <v>1882.69</v>
      </c>
      <c r="F40" s="7">
        <f>2419.65</f>
        <v>2419.65</v>
      </c>
      <c r="G40" s="7">
        <f>4548.2</f>
        <v>4548.2</v>
      </c>
      <c r="H40" s="7">
        <f>4124.15</f>
        <v>4124.1499999999996</v>
      </c>
      <c r="I40" s="7">
        <f>7221.1</f>
        <v>7221.1</v>
      </c>
      <c r="J40" s="7">
        <f>5749.24</f>
        <v>5749.24</v>
      </c>
      <c r="K40" s="7">
        <f>7923.03</f>
        <v>7923.03</v>
      </c>
      <c r="L40" s="7">
        <f>11581.38</f>
        <v>11581.38</v>
      </c>
      <c r="M40" s="7">
        <f>5251.45</f>
        <v>5251.45</v>
      </c>
      <c r="N40" s="7">
        <f t="shared" si="5"/>
        <v>55773.749999999985</v>
      </c>
    </row>
    <row r="41" spans="1:14" x14ac:dyDescent="0.3">
      <c r="A41" s="5" t="s">
        <v>184</v>
      </c>
      <c r="B41" s="6"/>
      <c r="C41" s="6"/>
      <c r="D41" s="7">
        <f>297</f>
        <v>297</v>
      </c>
      <c r="E41" s="6"/>
      <c r="F41" s="6"/>
      <c r="G41" s="6"/>
      <c r="H41" s="6"/>
      <c r="I41" s="6"/>
      <c r="J41" s="6"/>
      <c r="K41" s="7">
        <f>10.5</f>
        <v>10.5</v>
      </c>
      <c r="L41" s="7">
        <f>31.5</f>
        <v>31.5</v>
      </c>
      <c r="M41" s="7">
        <f>477.2</f>
        <v>477.2</v>
      </c>
      <c r="N41" s="7">
        <f t="shared" si="5"/>
        <v>816.2</v>
      </c>
    </row>
    <row r="42" spans="1:14" x14ac:dyDescent="0.3">
      <c r="A42" s="5" t="s">
        <v>185</v>
      </c>
      <c r="B42" s="6"/>
      <c r="C42" s="6"/>
      <c r="D42" s="7">
        <f>25</f>
        <v>25</v>
      </c>
      <c r="E42" s="7">
        <f>5.54</f>
        <v>5.54</v>
      </c>
      <c r="F42" s="7">
        <f>19.99</f>
        <v>19.989999999999998</v>
      </c>
      <c r="G42" s="6"/>
      <c r="H42" s="6"/>
      <c r="I42" s="6"/>
      <c r="J42" s="6"/>
      <c r="K42" s="7">
        <f>10</f>
        <v>10</v>
      </c>
      <c r="L42" s="7">
        <f>88.06</f>
        <v>88.06</v>
      </c>
      <c r="M42" s="6"/>
      <c r="N42" s="7">
        <f t="shared" si="5"/>
        <v>148.59</v>
      </c>
    </row>
    <row r="43" spans="1:14" x14ac:dyDescent="0.3">
      <c r="A43" s="5" t="s">
        <v>186</v>
      </c>
      <c r="B43" s="6"/>
      <c r="C43" s="6"/>
      <c r="D43" s="6"/>
      <c r="E43" s="6"/>
      <c r="F43" s="7">
        <f>4.7</f>
        <v>4.7</v>
      </c>
      <c r="G43" s="7">
        <f>4.7</f>
        <v>4.7</v>
      </c>
      <c r="H43" s="7">
        <f>4.7</f>
        <v>4.7</v>
      </c>
      <c r="I43" s="6"/>
      <c r="J43" s="7">
        <f>4.7</f>
        <v>4.7</v>
      </c>
      <c r="K43" s="6"/>
      <c r="L43" s="7">
        <f>9.4</f>
        <v>9.4</v>
      </c>
      <c r="M43" s="6"/>
      <c r="N43" s="7">
        <f t="shared" si="5"/>
        <v>28.200000000000003</v>
      </c>
    </row>
    <row r="44" spans="1:14" x14ac:dyDescent="0.3">
      <c r="A44" s="5" t="s">
        <v>187</v>
      </c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7">
        <f t="shared" si="5"/>
        <v>0</v>
      </c>
    </row>
    <row r="45" spans="1:14" x14ac:dyDescent="0.3">
      <c r="A45" s="5" t="s">
        <v>188</v>
      </c>
      <c r="B45" s="6"/>
      <c r="C45" s="6"/>
      <c r="D45" s="6"/>
      <c r="E45" s="6"/>
      <c r="F45" s="6"/>
      <c r="G45" s="6"/>
      <c r="H45" s="6"/>
      <c r="I45" s="6"/>
      <c r="J45" s="7">
        <f>290.35</f>
        <v>290.35000000000002</v>
      </c>
      <c r="K45" s="7">
        <f>197.93</f>
        <v>197.93</v>
      </c>
      <c r="L45" s="6"/>
      <c r="M45" s="6"/>
      <c r="N45" s="7">
        <f t="shared" si="5"/>
        <v>488.28000000000003</v>
      </c>
    </row>
    <row r="46" spans="1:14" x14ac:dyDescent="0.3">
      <c r="A46" s="5" t="s">
        <v>189</v>
      </c>
      <c r="B46" s="8">
        <f t="shared" ref="B46:M46" si="8">(B44)+(B45)</f>
        <v>0</v>
      </c>
      <c r="C46" s="8">
        <f t="shared" si="8"/>
        <v>0</v>
      </c>
      <c r="D46" s="8">
        <f t="shared" si="8"/>
        <v>0</v>
      </c>
      <c r="E46" s="8">
        <f t="shared" si="8"/>
        <v>0</v>
      </c>
      <c r="F46" s="8">
        <f t="shared" si="8"/>
        <v>0</v>
      </c>
      <c r="G46" s="8">
        <f t="shared" si="8"/>
        <v>0</v>
      </c>
      <c r="H46" s="8">
        <f t="shared" si="8"/>
        <v>0</v>
      </c>
      <c r="I46" s="8">
        <f t="shared" si="8"/>
        <v>0</v>
      </c>
      <c r="J46" s="8">
        <f t="shared" si="8"/>
        <v>290.35000000000002</v>
      </c>
      <c r="K46" s="8">
        <f t="shared" si="8"/>
        <v>197.93</v>
      </c>
      <c r="L46" s="8">
        <f t="shared" si="8"/>
        <v>0</v>
      </c>
      <c r="M46" s="8">
        <f t="shared" si="8"/>
        <v>0</v>
      </c>
      <c r="N46" s="8">
        <f t="shared" si="5"/>
        <v>488.28000000000003</v>
      </c>
    </row>
    <row r="47" spans="1:14" x14ac:dyDescent="0.3">
      <c r="A47" s="5" t="s">
        <v>83</v>
      </c>
      <c r="B47" s="6"/>
      <c r="C47" s="6"/>
      <c r="D47" s="6"/>
      <c r="E47" s="7">
        <f>7315.38</f>
        <v>7315.38</v>
      </c>
      <c r="F47" s="7">
        <f>7595.71</f>
        <v>7595.71</v>
      </c>
      <c r="G47" s="7">
        <f>16411.94</f>
        <v>16411.939999999999</v>
      </c>
      <c r="H47" s="7">
        <f>4831.86</f>
        <v>4831.8599999999997</v>
      </c>
      <c r="I47" s="7">
        <f>6241.8</f>
        <v>6241.8</v>
      </c>
      <c r="J47" s="7">
        <f>7209.62</f>
        <v>7209.62</v>
      </c>
      <c r="K47" s="7">
        <f>8959.42</f>
        <v>8959.42</v>
      </c>
      <c r="L47" s="7">
        <f>3806.21</f>
        <v>3806.21</v>
      </c>
      <c r="M47" s="7">
        <f>39.2</f>
        <v>39.200000000000003</v>
      </c>
      <c r="N47" s="7">
        <f t="shared" si="5"/>
        <v>62411.14</v>
      </c>
    </row>
    <row r="48" spans="1:14" x14ac:dyDescent="0.3">
      <c r="A48" s="5" t="s">
        <v>86</v>
      </c>
      <c r="B48" s="7">
        <f>462.7</f>
        <v>462.7</v>
      </c>
      <c r="C48" s="7">
        <f>615.22</f>
        <v>615.22</v>
      </c>
      <c r="D48" s="7">
        <f>749.27</f>
        <v>749.27</v>
      </c>
      <c r="E48" s="6"/>
      <c r="F48" s="6"/>
      <c r="G48" s="6"/>
      <c r="H48" s="6"/>
      <c r="I48" s="7">
        <f>797.13</f>
        <v>797.13</v>
      </c>
      <c r="J48" s="7">
        <f>1744.84</f>
        <v>1744.84</v>
      </c>
      <c r="K48" s="7">
        <f>888.65</f>
        <v>888.65</v>
      </c>
      <c r="L48" s="7">
        <f>1733.57</f>
        <v>1733.57</v>
      </c>
      <c r="M48" s="7">
        <f>2304.08</f>
        <v>2304.08</v>
      </c>
      <c r="N48" s="7">
        <f t="shared" si="5"/>
        <v>9295.4599999999991</v>
      </c>
    </row>
    <row r="49" spans="1:14" x14ac:dyDescent="0.3">
      <c r="A49" s="5" t="s">
        <v>87</v>
      </c>
      <c r="B49" s="7">
        <f>3858.82</f>
        <v>3858.82</v>
      </c>
      <c r="C49" s="7">
        <f>5618.32</f>
        <v>5618.32</v>
      </c>
      <c r="D49" s="7">
        <f>6891.21</f>
        <v>6891.21</v>
      </c>
      <c r="E49" s="6"/>
      <c r="F49" s="6"/>
      <c r="G49" s="6"/>
      <c r="H49" s="6"/>
      <c r="I49" s="6"/>
      <c r="J49" s="6"/>
      <c r="K49" s="6"/>
      <c r="L49" s="7">
        <f>3459.59</f>
        <v>3459.59</v>
      </c>
      <c r="M49" s="7">
        <f>9931.41</f>
        <v>9931.41</v>
      </c>
      <c r="N49" s="7">
        <f t="shared" si="5"/>
        <v>29759.35</v>
      </c>
    </row>
    <row r="50" spans="1:14" x14ac:dyDescent="0.3">
      <c r="A50" s="5" t="s">
        <v>132</v>
      </c>
      <c r="B50" s="7">
        <f>1331.01</f>
        <v>1331.01</v>
      </c>
      <c r="C50" s="7">
        <f>1595.13</f>
        <v>1595.13</v>
      </c>
      <c r="D50" s="7">
        <f>2562.1</f>
        <v>2562.1</v>
      </c>
      <c r="E50" s="7">
        <f>3227.98</f>
        <v>3227.98</v>
      </c>
      <c r="F50" s="7">
        <f>1752.2</f>
        <v>1752.2</v>
      </c>
      <c r="G50" s="7">
        <f>3397.93</f>
        <v>3397.93</v>
      </c>
      <c r="H50" s="7">
        <f>2864.71</f>
        <v>2864.71</v>
      </c>
      <c r="I50" s="7">
        <f>3815.28</f>
        <v>3815.28</v>
      </c>
      <c r="J50" s="7">
        <f>3459.41</f>
        <v>3459.41</v>
      </c>
      <c r="K50" s="7">
        <f>4318.85</f>
        <v>4318.8500000000004</v>
      </c>
      <c r="L50" s="7">
        <f>4193.45</f>
        <v>4193.45</v>
      </c>
      <c r="M50" s="7">
        <f>4406.74</f>
        <v>4406.74</v>
      </c>
      <c r="N50" s="7">
        <f t="shared" si="5"/>
        <v>36924.79</v>
      </c>
    </row>
    <row r="51" spans="1:14" x14ac:dyDescent="0.3">
      <c r="A51" s="5" t="s">
        <v>99</v>
      </c>
      <c r="B51" s="8">
        <f t="shared" ref="B51:M51" si="9">(B49)+(B50)</f>
        <v>5189.83</v>
      </c>
      <c r="C51" s="8">
        <f t="shared" si="9"/>
        <v>7213.45</v>
      </c>
      <c r="D51" s="8">
        <f t="shared" si="9"/>
        <v>9453.31</v>
      </c>
      <c r="E51" s="8">
        <f t="shared" si="9"/>
        <v>3227.98</v>
      </c>
      <c r="F51" s="8">
        <f t="shared" si="9"/>
        <v>1752.2</v>
      </c>
      <c r="G51" s="8">
        <f t="shared" si="9"/>
        <v>3397.93</v>
      </c>
      <c r="H51" s="8">
        <f t="shared" si="9"/>
        <v>2864.71</v>
      </c>
      <c r="I51" s="8">
        <f t="shared" si="9"/>
        <v>3815.28</v>
      </c>
      <c r="J51" s="8">
        <f t="shared" si="9"/>
        <v>3459.41</v>
      </c>
      <c r="K51" s="8">
        <f t="shared" si="9"/>
        <v>4318.8500000000004</v>
      </c>
      <c r="L51" s="8">
        <f t="shared" si="9"/>
        <v>7653.04</v>
      </c>
      <c r="M51" s="8">
        <f t="shared" si="9"/>
        <v>14338.15</v>
      </c>
      <c r="N51" s="8">
        <f t="shared" si="5"/>
        <v>66684.139999999985</v>
      </c>
    </row>
    <row r="52" spans="1:14" x14ac:dyDescent="0.3">
      <c r="A52" s="5" t="s">
        <v>100</v>
      </c>
      <c r="B52" s="8">
        <f t="shared" ref="B52:M52" si="10">((B47)+(B48))+(B51)</f>
        <v>5652.53</v>
      </c>
      <c r="C52" s="8">
        <f t="shared" si="10"/>
        <v>7828.67</v>
      </c>
      <c r="D52" s="8">
        <f t="shared" si="10"/>
        <v>10202.58</v>
      </c>
      <c r="E52" s="8">
        <f t="shared" si="10"/>
        <v>10543.36</v>
      </c>
      <c r="F52" s="8">
        <f t="shared" si="10"/>
        <v>9347.91</v>
      </c>
      <c r="G52" s="8">
        <f t="shared" si="10"/>
        <v>19809.87</v>
      </c>
      <c r="H52" s="8">
        <f t="shared" si="10"/>
        <v>7696.57</v>
      </c>
      <c r="I52" s="8">
        <f t="shared" si="10"/>
        <v>10854.210000000001</v>
      </c>
      <c r="J52" s="8">
        <f t="shared" si="10"/>
        <v>12413.869999999999</v>
      </c>
      <c r="K52" s="8">
        <f t="shared" si="10"/>
        <v>14166.92</v>
      </c>
      <c r="L52" s="8">
        <f t="shared" si="10"/>
        <v>13192.82</v>
      </c>
      <c r="M52" s="8">
        <f t="shared" si="10"/>
        <v>16681.43</v>
      </c>
      <c r="N52" s="8">
        <f t="shared" si="5"/>
        <v>138390.74</v>
      </c>
    </row>
    <row r="53" spans="1:14" x14ac:dyDescent="0.3">
      <c r="A53" s="5" t="s">
        <v>153</v>
      </c>
      <c r="B53" s="7">
        <f>18</f>
        <v>18</v>
      </c>
      <c r="C53" s="7">
        <f>50.65</f>
        <v>50.65</v>
      </c>
      <c r="D53" s="7">
        <f>8</f>
        <v>8</v>
      </c>
      <c r="E53" s="7">
        <f>75.02</f>
        <v>75.02</v>
      </c>
      <c r="F53" s="7">
        <f>35.81</f>
        <v>35.81</v>
      </c>
      <c r="G53" s="7">
        <f>65.7</f>
        <v>65.7</v>
      </c>
      <c r="H53" s="7">
        <f>119.2</f>
        <v>119.2</v>
      </c>
      <c r="I53" s="7">
        <f>134.62</f>
        <v>134.62</v>
      </c>
      <c r="J53" s="7">
        <f>30.22</f>
        <v>30.22</v>
      </c>
      <c r="K53" s="7">
        <f>82.11</f>
        <v>82.11</v>
      </c>
      <c r="L53" s="6"/>
      <c r="M53" s="7">
        <f>657.81</f>
        <v>657.81</v>
      </c>
      <c r="N53" s="7">
        <f t="shared" si="5"/>
        <v>1277.1399999999999</v>
      </c>
    </row>
    <row r="54" spans="1:14" x14ac:dyDescent="0.3">
      <c r="A54" s="5" t="s">
        <v>155</v>
      </c>
      <c r="B54" s="7">
        <f>5300</f>
        <v>5300</v>
      </c>
      <c r="C54" s="7">
        <f>6200</f>
        <v>6200</v>
      </c>
      <c r="D54" s="7">
        <f>8000</f>
        <v>8000</v>
      </c>
      <c r="E54" s="7">
        <f>9100</f>
        <v>9100</v>
      </c>
      <c r="F54" s="7">
        <f>8000</f>
        <v>8000</v>
      </c>
      <c r="G54" s="7">
        <f>9950</f>
        <v>9950</v>
      </c>
      <c r="H54" s="7">
        <f>17300</f>
        <v>17300</v>
      </c>
      <c r="I54" s="7">
        <f>14000</f>
        <v>14000</v>
      </c>
      <c r="J54" s="7">
        <f>16000</f>
        <v>16000</v>
      </c>
      <c r="K54" s="7">
        <f>17000</f>
        <v>17000</v>
      </c>
      <c r="L54" s="7">
        <f>16500</f>
        <v>16500</v>
      </c>
      <c r="M54" s="7">
        <f>20500</f>
        <v>20500</v>
      </c>
      <c r="N54" s="7">
        <f t="shared" si="5"/>
        <v>147850</v>
      </c>
    </row>
    <row r="55" spans="1:14" x14ac:dyDescent="0.3">
      <c r="A55" s="5" t="s">
        <v>157</v>
      </c>
      <c r="B55" s="6"/>
      <c r="C55" s="7">
        <f>17.46</f>
        <v>17.46</v>
      </c>
      <c r="D55" s="6"/>
      <c r="E55" s="7">
        <f>20.11</f>
        <v>20.11</v>
      </c>
      <c r="F55" s="7">
        <f>10.43</f>
        <v>10.43</v>
      </c>
      <c r="G55" s="6"/>
      <c r="H55" s="6"/>
      <c r="I55" s="7">
        <f>72.71</f>
        <v>72.709999999999994</v>
      </c>
      <c r="J55" s="7">
        <f>55.5</f>
        <v>55.5</v>
      </c>
      <c r="K55" s="7">
        <f>69</f>
        <v>69</v>
      </c>
      <c r="L55" s="7">
        <f>137</f>
        <v>137</v>
      </c>
      <c r="M55" s="7">
        <f>221.59</f>
        <v>221.59</v>
      </c>
      <c r="N55" s="7">
        <f t="shared" si="5"/>
        <v>603.79999999999995</v>
      </c>
    </row>
    <row r="56" spans="1:14" x14ac:dyDescent="0.3">
      <c r="A56" s="5" t="s">
        <v>158</v>
      </c>
      <c r="B56" s="7">
        <f>11.69</f>
        <v>11.69</v>
      </c>
      <c r="C56" s="7">
        <f>825.99</f>
        <v>825.99</v>
      </c>
      <c r="D56" s="7">
        <f>1339.56</f>
        <v>1339.56</v>
      </c>
      <c r="E56" s="7">
        <f>2265.41</f>
        <v>2265.41</v>
      </c>
      <c r="F56" s="7">
        <f>1597.06</f>
        <v>1597.06</v>
      </c>
      <c r="G56" s="7">
        <f>948.44</f>
        <v>948.44</v>
      </c>
      <c r="H56" s="7">
        <f>2744.48</f>
        <v>2744.48</v>
      </c>
      <c r="I56" s="7">
        <f>2909.24</f>
        <v>2909.24</v>
      </c>
      <c r="J56" s="7">
        <f>3474.64</f>
        <v>3474.64</v>
      </c>
      <c r="K56" s="7">
        <f>3457.59</f>
        <v>3457.59</v>
      </c>
      <c r="L56" s="7">
        <f>3127.99</f>
        <v>3127.99</v>
      </c>
      <c r="M56" s="7">
        <f>3052.48</f>
        <v>3052.48</v>
      </c>
      <c r="N56" s="7">
        <f t="shared" si="5"/>
        <v>25754.569999999996</v>
      </c>
    </row>
    <row r="57" spans="1:14" x14ac:dyDescent="0.3">
      <c r="A57" s="5" t="s">
        <v>29</v>
      </c>
      <c r="B57" s="6"/>
      <c r="C57" s="7">
        <f>20.3</f>
        <v>20.3</v>
      </c>
      <c r="D57" s="6"/>
      <c r="E57" s="7">
        <f>20.68</f>
        <v>20.68</v>
      </c>
      <c r="F57" s="7">
        <f>13.62</f>
        <v>13.62</v>
      </c>
      <c r="G57" s="7">
        <f>28.58</f>
        <v>28.58</v>
      </c>
      <c r="H57" s="6"/>
      <c r="I57" s="6"/>
      <c r="J57" s="6"/>
      <c r="K57" s="6"/>
      <c r="L57" s="6"/>
      <c r="M57" s="6"/>
      <c r="N57" s="7">
        <f t="shared" si="5"/>
        <v>83.18</v>
      </c>
    </row>
    <row r="58" spans="1:14" x14ac:dyDescent="0.3">
      <c r="A58" s="5" t="s">
        <v>160</v>
      </c>
      <c r="B58" s="8">
        <f t="shared" ref="B58:M58" si="11">((((B53)+(B54))+(B55))+(B56))+(B57)</f>
        <v>5329.69</v>
      </c>
      <c r="C58" s="8">
        <f t="shared" si="11"/>
        <v>7114.4</v>
      </c>
      <c r="D58" s="8">
        <f t="shared" si="11"/>
        <v>9347.56</v>
      </c>
      <c r="E58" s="8">
        <f t="shared" si="11"/>
        <v>11481.220000000001</v>
      </c>
      <c r="F58" s="8">
        <f t="shared" si="11"/>
        <v>9656.9200000000019</v>
      </c>
      <c r="G58" s="8">
        <f t="shared" si="11"/>
        <v>10992.720000000001</v>
      </c>
      <c r="H58" s="8">
        <f t="shared" si="11"/>
        <v>20163.68</v>
      </c>
      <c r="I58" s="8">
        <f t="shared" si="11"/>
        <v>17116.57</v>
      </c>
      <c r="J58" s="8">
        <f t="shared" si="11"/>
        <v>19560.36</v>
      </c>
      <c r="K58" s="8">
        <f t="shared" si="11"/>
        <v>20608.7</v>
      </c>
      <c r="L58" s="8">
        <f t="shared" si="11"/>
        <v>19764.989999999998</v>
      </c>
      <c r="M58" s="8">
        <f t="shared" si="11"/>
        <v>24431.88</v>
      </c>
      <c r="N58" s="8">
        <f t="shared" si="5"/>
        <v>175568.69</v>
      </c>
    </row>
    <row r="59" spans="1:14" x14ac:dyDescent="0.3">
      <c r="A59" s="5" t="s">
        <v>190</v>
      </c>
      <c r="B59" s="6"/>
      <c r="C59" s="6"/>
      <c r="D59" s="6"/>
      <c r="E59" s="6"/>
      <c r="F59" s="6"/>
      <c r="G59" s="7">
        <f>2104.58</f>
        <v>2104.58</v>
      </c>
      <c r="H59" s="6"/>
      <c r="I59" s="6"/>
      <c r="J59" s="6"/>
      <c r="K59" s="6"/>
      <c r="L59" s="6"/>
      <c r="M59" s="6"/>
      <c r="N59" s="7">
        <f t="shared" si="5"/>
        <v>2104.58</v>
      </c>
    </row>
    <row r="60" spans="1:14" x14ac:dyDescent="0.3">
      <c r="A60" s="5" t="s">
        <v>103</v>
      </c>
      <c r="B60" s="8">
        <f t="shared" ref="B60:M60" si="12">(((((((((((((B17)+(B18))+(B19))+(B37))+(B38))+(B39))+(B40))+(B41))+(B42))+(B43))+(B46))+(B52))+(B58))+(B59)</f>
        <v>15448.05</v>
      </c>
      <c r="C60" s="8">
        <f t="shared" si="12"/>
        <v>19669.010000000002</v>
      </c>
      <c r="D60" s="8">
        <f t="shared" si="12"/>
        <v>29260.189999999995</v>
      </c>
      <c r="E60" s="8">
        <f t="shared" si="12"/>
        <v>28201.030000000002</v>
      </c>
      <c r="F60" s="8">
        <f t="shared" si="12"/>
        <v>25952.05</v>
      </c>
      <c r="G60" s="8">
        <f t="shared" si="12"/>
        <v>42213.350000000006</v>
      </c>
      <c r="H60" s="8">
        <f t="shared" si="12"/>
        <v>35880.54</v>
      </c>
      <c r="I60" s="8">
        <f t="shared" si="12"/>
        <v>40951.379999999997</v>
      </c>
      <c r="J60" s="8">
        <f t="shared" si="12"/>
        <v>41421.06</v>
      </c>
      <c r="K60" s="8">
        <f t="shared" si="12"/>
        <v>48509.95</v>
      </c>
      <c r="L60" s="8">
        <f t="shared" si="12"/>
        <v>48939.149999999994</v>
      </c>
      <c r="M60" s="8">
        <f t="shared" si="12"/>
        <v>53047.340000000004</v>
      </c>
      <c r="N60" s="8">
        <f t="shared" si="5"/>
        <v>429493.10000000003</v>
      </c>
    </row>
    <row r="61" spans="1:14" x14ac:dyDescent="0.3">
      <c r="A61" s="5" t="s">
        <v>104</v>
      </c>
      <c r="B61" s="8">
        <f t="shared" ref="B61:M61" si="13">(B15)-(B60)</f>
        <v>342.86000000000058</v>
      </c>
      <c r="C61" s="8">
        <f t="shared" si="13"/>
        <v>-8595.1000000000022</v>
      </c>
      <c r="D61" s="8">
        <f t="shared" si="13"/>
        <v>-16784.059999999998</v>
      </c>
      <c r="E61" s="8">
        <f t="shared" si="13"/>
        <v>-12624.160000000003</v>
      </c>
      <c r="F61" s="8">
        <f t="shared" si="13"/>
        <v>-3035.59</v>
      </c>
      <c r="G61" s="8">
        <f t="shared" si="13"/>
        <v>-25048.490000000005</v>
      </c>
      <c r="H61" s="8">
        <f t="shared" si="13"/>
        <v>-10313.700000000004</v>
      </c>
      <c r="I61" s="8">
        <f t="shared" si="13"/>
        <v>-8114.5800000000017</v>
      </c>
      <c r="J61" s="8">
        <f t="shared" si="13"/>
        <v>1407.9500000000044</v>
      </c>
      <c r="K61" s="8">
        <f t="shared" si="13"/>
        <v>-898.88999999999942</v>
      </c>
      <c r="L61" s="8">
        <f t="shared" si="13"/>
        <v>-2993.7999999999956</v>
      </c>
      <c r="M61" s="8">
        <f t="shared" si="13"/>
        <v>-2437.4199999999983</v>
      </c>
      <c r="N61" s="8">
        <f t="shared" si="5"/>
        <v>-89094.980000000025</v>
      </c>
    </row>
    <row r="62" spans="1:14" x14ac:dyDescent="0.3">
      <c r="A62" s="5" t="s">
        <v>105</v>
      </c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</row>
    <row r="63" spans="1:14" x14ac:dyDescent="0.3">
      <c r="A63" s="5" t="s">
        <v>106</v>
      </c>
      <c r="B63" s="6"/>
      <c r="C63" s="6"/>
      <c r="D63" s="7">
        <f>0.01</f>
        <v>0.01</v>
      </c>
      <c r="E63" s="6"/>
      <c r="F63" s="6"/>
      <c r="G63" s="6"/>
      <c r="H63" s="6"/>
      <c r="I63" s="6"/>
      <c r="J63" s="6"/>
      <c r="K63" s="7">
        <f>0.01</f>
        <v>0.01</v>
      </c>
      <c r="L63" s="6"/>
      <c r="M63" s="7">
        <f>0.01</f>
        <v>0.01</v>
      </c>
      <c r="N63" s="7">
        <f>(((((((((((B63)+(C63))+(D63))+(E63))+(F63))+(G63))+(H63))+(I63))+(J63))+(K63))+(L63))+(M63)</f>
        <v>0.03</v>
      </c>
    </row>
    <row r="64" spans="1:14" x14ac:dyDescent="0.3">
      <c r="A64" s="5" t="s">
        <v>107</v>
      </c>
      <c r="B64" s="8">
        <f t="shared" ref="B64:M64" si="14">B63</f>
        <v>0</v>
      </c>
      <c r="C64" s="8">
        <f t="shared" si="14"/>
        <v>0</v>
      </c>
      <c r="D64" s="8">
        <f t="shared" si="14"/>
        <v>0.01</v>
      </c>
      <c r="E64" s="8">
        <f t="shared" si="14"/>
        <v>0</v>
      </c>
      <c r="F64" s="8">
        <f t="shared" si="14"/>
        <v>0</v>
      </c>
      <c r="G64" s="8">
        <f t="shared" si="14"/>
        <v>0</v>
      </c>
      <c r="H64" s="8">
        <f t="shared" si="14"/>
        <v>0</v>
      </c>
      <c r="I64" s="8">
        <f t="shared" si="14"/>
        <v>0</v>
      </c>
      <c r="J64" s="8">
        <f t="shared" si="14"/>
        <v>0</v>
      </c>
      <c r="K64" s="8">
        <f t="shared" si="14"/>
        <v>0.01</v>
      </c>
      <c r="L64" s="8">
        <f t="shared" si="14"/>
        <v>0</v>
      </c>
      <c r="M64" s="8">
        <f t="shared" si="14"/>
        <v>0.01</v>
      </c>
      <c r="N64" s="8">
        <f>(((((((((((B64)+(C64))+(D64))+(E64))+(F64))+(G64))+(H64))+(I64))+(J64))+(K64))+(L64))+(M64)</f>
        <v>0.03</v>
      </c>
    </row>
    <row r="65" spans="1:14" x14ac:dyDescent="0.3">
      <c r="A65" s="5" t="s">
        <v>108</v>
      </c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</row>
    <row r="66" spans="1:14" x14ac:dyDescent="0.3">
      <c r="A66" s="5" t="s">
        <v>109</v>
      </c>
      <c r="B66" s="6"/>
      <c r="C66" s="6"/>
      <c r="D66" s="7">
        <f>8.89</f>
        <v>8.89</v>
      </c>
      <c r="E66" s="6"/>
      <c r="F66" s="6"/>
      <c r="G66" s="7">
        <f>104.35</f>
        <v>104.35</v>
      </c>
      <c r="H66" s="7">
        <f>138.64</f>
        <v>138.63999999999999</v>
      </c>
      <c r="I66" s="7">
        <f>154.31</f>
        <v>154.31</v>
      </c>
      <c r="J66" s="7">
        <f>139.73</f>
        <v>139.72999999999999</v>
      </c>
      <c r="K66" s="7">
        <f>166.05</f>
        <v>166.05</v>
      </c>
      <c r="L66" s="7">
        <f>223.65</f>
        <v>223.65</v>
      </c>
      <c r="M66" s="7">
        <f>291.06</f>
        <v>291.06</v>
      </c>
      <c r="N66" s="7">
        <f t="shared" ref="N66:N73" si="15">(((((((((((B66)+(C66))+(D66))+(E66))+(F66))+(G66))+(H66))+(I66))+(J66))+(K66))+(L66))+(M66)</f>
        <v>1226.68</v>
      </c>
    </row>
    <row r="67" spans="1:14" x14ac:dyDescent="0.3">
      <c r="A67" s="5" t="s">
        <v>162</v>
      </c>
      <c r="B67" s="6"/>
      <c r="C67" s="6"/>
      <c r="D67" s="6"/>
      <c r="E67" s="6"/>
      <c r="F67" s="6"/>
      <c r="G67" s="6"/>
      <c r="H67" s="6"/>
      <c r="I67" s="6"/>
      <c r="J67" s="7">
        <f>112.9</f>
        <v>112.9</v>
      </c>
      <c r="K67" s="7">
        <f>291.27</f>
        <v>291.27</v>
      </c>
      <c r="L67" s="7">
        <f>262.96</f>
        <v>262.95999999999998</v>
      </c>
      <c r="M67" s="7">
        <f>234.31</f>
        <v>234.31</v>
      </c>
      <c r="N67" s="7">
        <f t="shared" si="15"/>
        <v>901.43999999999983</v>
      </c>
    </row>
    <row r="68" spans="1:14" x14ac:dyDescent="0.3">
      <c r="A68" s="5" t="s">
        <v>163</v>
      </c>
      <c r="B68" s="7">
        <f>87.59</f>
        <v>87.59</v>
      </c>
      <c r="C68" s="7">
        <f>88.32</f>
        <v>88.32</v>
      </c>
      <c r="D68" s="7">
        <f>89.05</f>
        <v>89.05</v>
      </c>
      <c r="E68" s="7">
        <f>89.8</f>
        <v>89.8</v>
      </c>
      <c r="F68" s="7">
        <f>90.54</f>
        <v>90.54</v>
      </c>
      <c r="G68" s="7">
        <f>91.3</f>
        <v>91.3</v>
      </c>
      <c r="H68" s="7">
        <f>92.06</f>
        <v>92.06</v>
      </c>
      <c r="I68" s="7">
        <f>92.83</f>
        <v>92.83</v>
      </c>
      <c r="J68" s="7">
        <f>93.6</f>
        <v>93.6</v>
      </c>
      <c r="K68" s="7">
        <f>94.38</f>
        <v>94.38</v>
      </c>
      <c r="L68" s="7">
        <f>95.17</f>
        <v>95.17</v>
      </c>
      <c r="M68" s="7">
        <f>95.96</f>
        <v>95.96</v>
      </c>
      <c r="N68" s="7">
        <f t="shared" si="15"/>
        <v>1100.6000000000001</v>
      </c>
    </row>
    <row r="69" spans="1:14" x14ac:dyDescent="0.3">
      <c r="A69" s="5" t="s">
        <v>111</v>
      </c>
      <c r="B69" s="8">
        <f t="shared" ref="B69:M69" si="16">((B66)+(B67))+(B68)</f>
        <v>87.59</v>
      </c>
      <c r="C69" s="8">
        <f t="shared" si="16"/>
        <v>88.32</v>
      </c>
      <c r="D69" s="8">
        <f t="shared" si="16"/>
        <v>97.94</v>
      </c>
      <c r="E69" s="8">
        <f t="shared" si="16"/>
        <v>89.8</v>
      </c>
      <c r="F69" s="8">
        <f t="shared" si="16"/>
        <v>90.54</v>
      </c>
      <c r="G69" s="8">
        <f t="shared" si="16"/>
        <v>195.64999999999998</v>
      </c>
      <c r="H69" s="8">
        <f t="shared" si="16"/>
        <v>230.7</v>
      </c>
      <c r="I69" s="8">
        <f t="shared" si="16"/>
        <v>247.14</v>
      </c>
      <c r="J69" s="8">
        <f t="shared" si="16"/>
        <v>346.23</v>
      </c>
      <c r="K69" s="8">
        <f t="shared" si="16"/>
        <v>551.70000000000005</v>
      </c>
      <c r="L69" s="8">
        <f t="shared" si="16"/>
        <v>581.78</v>
      </c>
      <c r="M69" s="8">
        <f t="shared" si="16"/>
        <v>621.33000000000004</v>
      </c>
      <c r="N69" s="8">
        <f t="shared" si="15"/>
        <v>3228.72</v>
      </c>
    </row>
    <row r="70" spans="1:14" x14ac:dyDescent="0.3">
      <c r="A70" s="5" t="s">
        <v>112</v>
      </c>
      <c r="B70" s="6"/>
      <c r="C70" s="6"/>
      <c r="D70" s="6"/>
      <c r="E70" s="6"/>
      <c r="F70" s="6"/>
      <c r="G70" s="6"/>
      <c r="H70" s="6"/>
      <c r="I70" s="7">
        <f>0</f>
        <v>0</v>
      </c>
      <c r="J70" s="6"/>
      <c r="K70" s="6"/>
      <c r="L70" s="6"/>
      <c r="M70" s="6"/>
      <c r="N70" s="7">
        <f t="shared" si="15"/>
        <v>0</v>
      </c>
    </row>
    <row r="71" spans="1:14" x14ac:dyDescent="0.3">
      <c r="A71" s="5" t="s">
        <v>113</v>
      </c>
      <c r="B71" s="8">
        <f t="shared" ref="B71:M71" si="17">(B69)+(B70)</f>
        <v>87.59</v>
      </c>
      <c r="C71" s="8">
        <f t="shared" si="17"/>
        <v>88.32</v>
      </c>
      <c r="D71" s="8">
        <f t="shared" si="17"/>
        <v>97.94</v>
      </c>
      <c r="E71" s="8">
        <f t="shared" si="17"/>
        <v>89.8</v>
      </c>
      <c r="F71" s="8">
        <f t="shared" si="17"/>
        <v>90.54</v>
      </c>
      <c r="G71" s="8">
        <f t="shared" si="17"/>
        <v>195.64999999999998</v>
      </c>
      <c r="H71" s="8">
        <f t="shared" si="17"/>
        <v>230.7</v>
      </c>
      <c r="I71" s="8">
        <f t="shared" si="17"/>
        <v>247.14</v>
      </c>
      <c r="J71" s="8">
        <f t="shared" si="17"/>
        <v>346.23</v>
      </c>
      <c r="K71" s="8">
        <f t="shared" si="17"/>
        <v>551.70000000000005</v>
      </c>
      <c r="L71" s="8">
        <f t="shared" si="17"/>
        <v>581.78</v>
      </c>
      <c r="M71" s="8">
        <f t="shared" si="17"/>
        <v>621.33000000000004</v>
      </c>
      <c r="N71" s="8">
        <f t="shared" si="15"/>
        <v>3228.72</v>
      </c>
    </row>
    <row r="72" spans="1:14" x14ac:dyDescent="0.3">
      <c r="A72" s="5" t="s">
        <v>114</v>
      </c>
      <c r="B72" s="8">
        <f t="shared" ref="B72:M72" si="18">(B64)-(B71)</f>
        <v>-87.59</v>
      </c>
      <c r="C72" s="8">
        <f t="shared" si="18"/>
        <v>-88.32</v>
      </c>
      <c r="D72" s="8">
        <f t="shared" si="18"/>
        <v>-97.929999999999993</v>
      </c>
      <c r="E72" s="8">
        <f t="shared" si="18"/>
        <v>-89.8</v>
      </c>
      <c r="F72" s="8">
        <f t="shared" si="18"/>
        <v>-90.54</v>
      </c>
      <c r="G72" s="8">
        <f t="shared" si="18"/>
        <v>-195.64999999999998</v>
      </c>
      <c r="H72" s="8">
        <f t="shared" si="18"/>
        <v>-230.7</v>
      </c>
      <c r="I72" s="8">
        <f t="shared" si="18"/>
        <v>-247.14</v>
      </c>
      <c r="J72" s="8">
        <f t="shared" si="18"/>
        <v>-346.23</v>
      </c>
      <c r="K72" s="8">
        <f t="shared" si="18"/>
        <v>-551.69000000000005</v>
      </c>
      <c r="L72" s="8">
        <f t="shared" si="18"/>
        <v>-581.78</v>
      </c>
      <c r="M72" s="8">
        <f t="shared" si="18"/>
        <v>-621.32000000000005</v>
      </c>
      <c r="N72" s="8">
        <f t="shared" si="15"/>
        <v>-3228.69</v>
      </c>
    </row>
    <row r="73" spans="1:14" x14ac:dyDescent="0.3">
      <c r="A73" s="5" t="s">
        <v>115</v>
      </c>
      <c r="B73" s="8">
        <f t="shared" ref="B73:M73" si="19">(B61)+(B72)</f>
        <v>255.27000000000058</v>
      </c>
      <c r="C73" s="8">
        <f t="shared" si="19"/>
        <v>-8683.4200000000019</v>
      </c>
      <c r="D73" s="8">
        <f t="shared" si="19"/>
        <v>-16881.989999999998</v>
      </c>
      <c r="E73" s="8">
        <f t="shared" si="19"/>
        <v>-12713.960000000003</v>
      </c>
      <c r="F73" s="8">
        <f t="shared" si="19"/>
        <v>-3126.13</v>
      </c>
      <c r="G73" s="8">
        <f t="shared" si="19"/>
        <v>-25244.140000000007</v>
      </c>
      <c r="H73" s="8">
        <f t="shared" si="19"/>
        <v>-10544.400000000005</v>
      </c>
      <c r="I73" s="8">
        <f t="shared" si="19"/>
        <v>-8361.7200000000012</v>
      </c>
      <c r="J73" s="8">
        <f t="shared" si="19"/>
        <v>1061.7200000000043</v>
      </c>
      <c r="K73" s="8">
        <f t="shared" si="19"/>
        <v>-1450.5799999999995</v>
      </c>
      <c r="L73" s="8">
        <f t="shared" si="19"/>
        <v>-3575.5799999999954</v>
      </c>
      <c r="M73" s="8">
        <f t="shared" si="19"/>
        <v>-3058.7399999999984</v>
      </c>
      <c r="N73" s="8">
        <f t="shared" si="15"/>
        <v>-92323.670000000027</v>
      </c>
    </row>
    <row r="74" spans="1:14" x14ac:dyDescent="0.3">
      <c r="A74" s="5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</row>
    <row r="77" spans="1:14" x14ac:dyDescent="0.3">
      <c r="A77" s="12" t="s">
        <v>191</v>
      </c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3" tint="0.79998168889431442"/>
  </sheetPr>
  <dimension ref="A1"/>
  <sheetViews>
    <sheetView workbookViewId="0"/>
  </sheetViews>
  <sheetFormatPr defaultColWidth="9" defaultRowHeight="14.4" x14ac:dyDescent="0.3"/>
  <cols>
    <col min="1" max="16384" width="9" style="1"/>
  </cols>
  <sheetData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5" tint="0.79998168889431442"/>
  </sheetPr>
  <dimension ref="A1:G123"/>
  <sheetViews>
    <sheetView workbookViewId="0">
      <selection sqref="A1:G1"/>
    </sheetView>
  </sheetViews>
  <sheetFormatPr defaultRowHeight="14.4" x14ac:dyDescent="0.3"/>
  <cols>
    <col min="1" max="1" width="46.44140625" customWidth="1"/>
    <col min="2" max="7" width="12" customWidth="1"/>
  </cols>
  <sheetData>
    <row r="1" spans="1:7" ht="17.399999999999999" x14ac:dyDescent="0.3">
      <c r="A1" s="370" t="s">
        <v>1</v>
      </c>
      <c r="B1" s="371"/>
      <c r="C1" s="371"/>
      <c r="D1" s="371"/>
      <c r="E1" s="371"/>
      <c r="F1" s="371"/>
      <c r="G1" s="371"/>
    </row>
    <row r="2" spans="1:7" ht="17.399999999999999" x14ac:dyDescent="0.3">
      <c r="A2" s="370" t="s">
        <v>361</v>
      </c>
      <c r="B2" s="371"/>
      <c r="C2" s="371"/>
      <c r="D2" s="371"/>
      <c r="E2" s="371"/>
      <c r="F2" s="371"/>
      <c r="G2" s="371"/>
    </row>
    <row r="3" spans="1:7" x14ac:dyDescent="0.3">
      <c r="A3" s="372" t="s">
        <v>515</v>
      </c>
      <c r="B3" s="371"/>
      <c r="C3" s="371"/>
      <c r="D3" s="371"/>
      <c r="E3" s="371"/>
      <c r="F3" s="371"/>
      <c r="G3" s="371"/>
    </row>
    <row r="5" spans="1:7" x14ac:dyDescent="0.3">
      <c r="A5" s="351"/>
      <c r="B5" s="347" t="s">
        <v>471</v>
      </c>
      <c r="C5" s="347" t="s">
        <v>472</v>
      </c>
      <c r="D5" s="347" t="s">
        <v>473</v>
      </c>
      <c r="E5" s="347" t="s">
        <v>482</v>
      </c>
      <c r="F5" s="347" t="s">
        <v>483</v>
      </c>
      <c r="G5" s="347" t="s">
        <v>510</v>
      </c>
    </row>
    <row r="6" spans="1:7" x14ac:dyDescent="0.3">
      <c r="A6" s="352" t="s">
        <v>359</v>
      </c>
      <c r="B6" s="348"/>
      <c r="C6" s="348"/>
      <c r="D6" s="348"/>
      <c r="E6" s="348"/>
      <c r="F6" s="348"/>
      <c r="G6" s="348"/>
    </row>
    <row r="7" spans="1:7" x14ac:dyDescent="0.3">
      <c r="A7" s="352" t="s">
        <v>358</v>
      </c>
      <c r="B7" s="348"/>
      <c r="C7" s="348"/>
      <c r="D7" s="348"/>
      <c r="E7" s="348"/>
      <c r="F7" s="348"/>
      <c r="G7" s="348"/>
    </row>
    <row r="8" spans="1:7" x14ac:dyDescent="0.3">
      <c r="A8" s="352" t="s">
        <v>357</v>
      </c>
      <c r="B8" s="348"/>
      <c r="C8" s="348"/>
      <c r="D8" s="348"/>
      <c r="E8" s="348"/>
      <c r="F8" s="348"/>
      <c r="G8" s="348"/>
    </row>
    <row r="9" spans="1:7" x14ac:dyDescent="0.3">
      <c r="A9" s="352" t="s">
        <v>356</v>
      </c>
      <c r="B9" s="349">
        <f>57142.73</f>
        <v>57142.73</v>
      </c>
      <c r="C9" s="349">
        <f>64161.28</f>
        <v>64161.279999999999</v>
      </c>
      <c r="D9" s="349">
        <f>64161.28</f>
        <v>64161.279999999999</v>
      </c>
      <c r="E9" s="349">
        <f>67661.28</f>
        <v>67661.279999999999</v>
      </c>
      <c r="F9" s="349">
        <f>67661.28</f>
        <v>67661.279999999999</v>
      </c>
      <c r="G9" s="349">
        <f>71161.28</f>
        <v>71161.279999999999</v>
      </c>
    </row>
    <row r="10" spans="1:7" x14ac:dyDescent="0.3">
      <c r="A10" s="352" t="s">
        <v>355</v>
      </c>
      <c r="B10" s="349">
        <f>0</f>
        <v>0</v>
      </c>
      <c r="C10" s="349">
        <f>B10</f>
        <v>0</v>
      </c>
      <c r="D10" s="349">
        <f>C10</f>
        <v>0</v>
      </c>
      <c r="E10" s="349">
        <f>D10</f>
        <v>0</v>
      </c>
      <c r="F10" s="349">
        <f>E10</f>
        <v>0</v>
      </c>
      <c r="G10" s="349">
        <f>F10</f>
        <v>0</v>
      </c>
    </row>
    <row r="11" spans="1:7" x14ac:dyDescent="0.3">
      <c r="A11" s="352" t="s">
        <v>354</v>
      </c>
      <c r="B11" s="349">
        <f>145140.35</f>
        <v>145140.35</v>
      </c>
      <c r="C11" s="349">
        <f>118374.17</f>
        <v>118374.17</v>
      </c>
      <c r="D11" s="349">
        <f>746574.41</f>
        <v>746574.41</v>
      </c>
      <c r="E11" s="349">
        <f>780367.17</f>
        <v>780367.17</v>
      </c>
      <c r="F11" s="349">
        <f>569250.23</f>
        <v>569250.23</v>
      </c>
      <c r="G11" s="349">
        <f>342067.77</f>
        <v>342067.77</v>
      </c>
    </row>
    <row r="12" spans="1:7" x14ac:dyDescent="0.3">
      <c r="A12" s="352" t="s">
        <v>353</v>
      </c>
      <c r="B12" s="349">
        <f>5000</f>
        <v>5000</v>
      </c>
      <c r="C12" s="349">
        <f>B12</f>
        <v>5000</v>
      </c>
      <c r="D12" s="349">
        <f>5000</f>
        <v>5000</v>
      </c>
      <c r="E12" s="349">
        <f>5000</f>
        <v>5000</v>
      </c>
      <c r="F12" s="349">
        <f>5000</f>
        <v>5000</v>
      </c>
      <c r="G12" s="349">
        <f>F12</f>
        <v>5000</v>
      </c>
    </row>
    <row r="13" spans="1:7" x14ac:dyDescent="0.3">
      <c r="A13" s="352" t="s">
        <v>352</v>
      </c>
      <c r="B13" s="349">
        <f>100121.33</f>
        <v>100121.33</v>
      </c>
      <c r="C13" s="349">
        <f>100123.71</f>
        <v>100123.71</v>
      </c>
      <c r="D13" s="349">
        <f>50125.15</f>
        <v>50125.15</v>
      </c>
      <c r="E13" s="349">
        <f>200128.59</f>
        <v>200128.59</v>
      </c>
      <c r="F13" s="349">
        <f>1400155.65</f>
        <v>1400155.65</v>
      </c>
      <c r="G13" s="349">
        <f>1400190.08</f>
        <v>1400190.08</v>
      </c>
    </row>
    <row r="14" spans="1:7" x14ac:dyDescent="0.3">
      <c r="A14" s="352" t="s">
        <v>351</v>
      </c>
      <c r="B14" s="349">
        <f>0</f>
        <v>0</v>
      </c>
      <c r="C14" s="349">
        <f t="shared" ref="C14:G16" si="0">B14</f>
        <v>0</v>
      </c>
      <c r="D14" s="349">
        <f t="shared" si="0"/>
        <v>0</v>
      </c>
      <c r="E14" s="349">
        <f t="shared" si="0"/>
        <v>0</v>
      </c>
      <c r="F14" s="349">
        <f t="shared" si="0"/>
        <v>0</v>
      </c>
      <c r="G14" s="349">
        <f t="shared" si="0"/>
        <v>0</v>
      </c>
    </row>
    <row r="15" spans="1:7" x14ac:dyDescent="0.3">
      <c r="A15" s="352" t="s">
        <v>350</v>
      </c>
      <c r="B15" s="349">
        <f>0</f>
        <v>0</v>
      </c>
      <c r="C15" s="349">
        <f t="shared" si="0"/>
        <v>0</v>
      </c>
      <c r="D15" s="349">
        <f t="shared" si="0"/>
        <v>0</v>
      </c>
      <c r="E15" s="349">
        <f t="shared" si="0"/>
        <v>0</v>
      </c>
      <c r="F15" s="349">
        <f t="shared" si="0"/>
        <v>0</v>
      </c>
      <c r="G15" s="349">
        <f t="shared" si="0"/>
        <v>0</v>
      </c>
    </row>
    <row r="16" spans="1:7" x14ac:dyDescent="0.3">
      <c r="A16" s="352" t="s">
        <v>349</v>
      </c>
      <c r="B16" s="349">
        <f>0</f>
        <v>0</v>
      </c>
      <c r="C16" s="349">
        <f t="shared" si="0"/>
        <v>0</v>
      </c>
      <c r="D16" s="349">
        <f t="shared" si="0"/>
        <v>0</v>
      </c>
      <c r="E16" s="349">
        <f t="shared" si="0"/>
        <v>0</v>
      </c>
      <c r="F16" s="349">
        <f t="shared" si="0"/>
        <v>0</v>
      </c>
      <c r="G16" s="349">
        <f t="shared" si="0"/>
        <v>0</v>
      </c>
    </row>
    <row r="17" spans="1:7" x14ac:dyDescent="0.3">
      <c r="A17" s="352" t="s">
        <v>348</v>
      </c>
      <c r="B17" s="350">
        <f t="shared" ref="B17:G17" si="1">(((((((B9)+(B10))+(B11))+(B12))+(B13))+(B14))+(B15))+(B16)</f>
        <v>307404.41000000003</v>
      </c>
      <c r="C17" s="350">
        <f t="shared" si="1"/>
        <v>287659.16000000003</v>
      </c>
      <c r="D17" s="350">
        <f t="shared" si="1"/>
        <v>865860.84000000008</v>
      </c>
      <c r="E17" s="350">
        <f t="shared" si="1"/>
        <v>1053157.04</v>
      </c>
      <c r="F17" s="350">
        <f t="shared" si="1"/>
        <v>2042067.16</v>
      </c>
      <c r="G17" s="350">
        <f t="shared" si="1"/>
        <v>1818419.1300000001</v>
      </c>
    </row>
    <row r="18" spans="1:7" x14ac:dyDescent="0.3">
      <c r="A18" s="352" t="s">
        <v>347</v>
      </c>
      <c r="B18" s="348"/>
      <c r="C18" s="348"/>
      <c r="D18" s="348"/>
      <c r="E18" s="348"/>
      <c r="F18" s="348"/>
      <c r="G18" s="348"/>
    </row>
    <row r="19" spans="1:7" x14ac:dyDescent="0.3">
      <c r="A19" s="352" t="s">
        <v>346</v>
      </c>
      <c r="B19" s="349">
        <f>0</f>
        <v>0</v>
      </c>
      <c r="C19" s="349">
        <f>B19</f>
        <v>0</v>
      </c>
      <c r="D19" s="349">
        <f>C19</f>
        <v>0</v>
      </c>
      <c r="E19" s="349">
        <f>D19</f>
        <v>0</v>
      </c>
      <c r="F19" s="349">
        <f>E19</f>
        <v>0</v>
      </c>
      <c r="G19" s="349">
        <f>F19</f>
        <v>0</v>
      </c>
    </row>
    <row r="20" spans="1:7" x14ac:dyDescent="0.3">
      <c r="A20" s="352" t="s">
        <v>345</v>
      </c>
      <c r="B20" s="350">
        <f t="shared" ref="B20:G20" si="2">B19</f>
        <v>0</v>
      </c>
      <c r="C20" s="350">
        <f t="shared" si="2"/>
        <v>0</v>
      </c>
      <c r="D20" s="350">
        <f t="shared" si="2"/>
        <v>0</v>
      </c>
      <c r="E20" s="350">
        <f t="shared" si="2"/>
        <v>0</v>
      </c>
      <c r="F20" s="350">
        <f t="shared" si="2"/>
        <v>0</v>
      </c>
      <c r="G20" s="350">
        <f t="shared" si="2"/>
        <v>0</v>
      </c>
    </row>
    <row r="21" spans="1:7" x14ac:dyDescent="0.3">
      <c r="A21" s="352" t="s">
        <v>344</v>
      </c>
      <c r="B21" s="348"/>
      <c r="C21" s="348"/>
      <c r="D21" s="348"/>
      <c r="E21" s="348"/>
      <c r="F21" s="348"/>
      <c r="G21" s="348"/>
    </row>
    <row r="22" spans="1:7" x14ac:dyDescent="0.3">
      <c r="A22" s="352" t="s">
        <v>343</v>
      </c>
      <c r="B22" s="349">
        <f>14000</f>
        <v>14000</v>
      </c>
      <c r="C22" s="349">
        <f>B22</f>
        <v>14000</v>
      </c>
      <c r="D22" s="349">
        <f>C22</f>
        <v>14000</v>
      </c>
      <c r="E22" s="349">
        <f>D22</f>
        <v>14000</v>
      </c>
      <c r="F22" s="349">
        <f>E22</f>
        <v>14000</v>
      </c>
      <c r="G22" s="349">
        <f>F22</f>
        <v>14000</v>
      </c>
    </row>
    <row r="23" spans="1:7" x14ac:dyDescent="0.3">
      <c r="A23" s="352" t="s">
        <v>342</v>
      </c>
      <c r="B23" s="349">
        <f>913861.58</f>
        <v>913861.58</v>
      </c>
      <c r="C23" s="349">
        <f>1084784.23</f>
        <v>1084784.23</v>
      </c>
      <c r="D23" s="349">
        <f>981827.96</f>
        <v>981827.96</v>
      </c>
      <c r="E23" s="349">
        <f>890104.64</f>
        <v>890104.64</v>
      </c>
      <c r="F23" s="349">
        <f>1115520.5</f>
        <v>1115520.5</v>
      </c>
      <c r="G23" s="349">
        <f>1871450.28</f>
        <v>1871450.28</v>
      </c>
    </row>
    <row r="24" spans="1:7" x14ac:dyDescent="0.3">
      <c r="A24" s="352" t="s">
        <v>341</v>
      </c>
      <c r="B24" s="349">
        <f>1315.84</f>
        <v>1315.84</v>
      </c>
      <c r="C24" s="349">
        <f>1096.53</f>
        <v>1096.53</v>
      </c>
      <c r="D24" s="349">
        <f>877.22</f>
        <v>877.22</v>
      </c>
      <c r="E24" s="349">
        <f>657.91</f>
        <v>657.91</v>
      </c>
      <c r="F24" s="349">
        <f>438.6</f>
        <v>438.6</v>
      </c>
      <c r="G24" s="349">
        <f>219.29</f>
        <v>219.29</v>
      </c>
    </row>
    <row r="25" spans="1:7" x14ac:dyDescent="0.3">
      <c r="A25" s="352" t="s">
        <v>340</v>
      </c>
      <c r="B25" s="349">
        <f>0</f>
        <v>0</v>
      </c>
      <c r="C25" s="349">
        <f>B25</f>
        <v>0</v>
      </c>
      <c r="D25" s="349">
        <f>C25</f>
        <v>0</v>
      </c>
      <c r="E25" s="349">
        <f>D25</f>
        <v>0</v>
      </c>
      <c r="F25" s="349">
        <f>E25</f>
        <v>0</v>
      </c>
      <c r="G25" s="349">
        <f>F25</f>
        <v>0</v>
      </c>
    </row>
    <row r="26" spans="1:7" x14ac:dyDescent="0.3">
      <c r="A26" s="352" t="s">
        <v>339</v>
      </c>
      <c r="B26" s="350">
        <f t="shared" ref="B26:G26" si="3">(((B22)+(B23))+(B24))+(B25)</f>
        <v>929177.41999999993</v>
      </c>
      <c r="C26" s="350">
        <f t="shared" si="3"/>
        <v>1099880.76</v>
      </c>
      <c r="D26" s="350">
        <f t="shared" si="3"/>
        <v>996705.17999999993</v>
      </c>
      <c r="E26" s="350">
        <f t="shared" si="3"/>
        <v>904762.55</v>
      </c>
      <c r="F26" s="350">
        <f t="shared" si="3"/>
        <v>1129959.1000000001</v>
      </c>
      <c r="G26" s="350">
        <f t="shared" si="3"/>
        <v>1885669.57</v>
      </c>
    </row>
    <row r="27" spans="1:7" x14ac:dyDescent="0.3">
      <c r="A27" s="352" t="s">
        <v>338</v>
      </c>
      <c r="B27" s="350">
        <f t="shared" ref="B27:G27" si="4">((B17)+(B20))+(B26)</f>
        <v>1236581.83</v>
      </c>
      <c r="C27" s="350">
        <f t="shared" si="4"/>
        <v>1387539.92</v>
      </c>
      <c r="D27" s="350">
        <f t="shared" si="4"/>
        <v>1862566.02</v>
      </c>
      <c r="E27" s="350">
        <f t="shared" si="4"/>
        <v>1957919.59</v>
      </c>
      <c r="F27" s="350">
        <f t="shared" si="4"/>
        <v>3172026.26</v>
      </c>
      <c r="G27" s="350">
        <f t="shared" si="4"/>
        <v>3704088.7</v>
      </c>
    </row>
    <row r="28" spans="1:7" x14ac:dyDescent="0.3">
      <c r="A28" s="352" t="s">
        <v>369</v>
      </c>
      <c r="B28" s="348"/>
      <c r="C28" s="348"/>
      <c r="D28" s="348"/>
      <c r="E28" s="348"/>
      <c r="F28" s="348"/>
      <c r="G28" s="348"/>
    </row>
    <row r="29" spans="1:7" x14ac:dyDescent="0.3">
      <c r="A29" s="352" t="s">
        <v>370</v>
      </c>
      <c r="B29" s="348"/>
      <c r="C29" s="349">
        <f>B29</f>
        <v>0</v>
      </c>
      <c r="D29" s="349">
        <f>C29</f>
        <v>0</v>
      </c>
      <c r="E29" s="349">
        <f>D29</f>
        <v>0</v>
      </c>
      <c r="F29" s="349">
        <f>E29</f>
        <v>0</v>
      </c>
      <c r="G29" s="349">
        <f>F29</f>
        <v>0</v>
      </c>
    </row>
    <row r="30" spans="1:7" x14ac:dyDescent="0.3">
      <c r="A30" s="352" t="s">
        <v>371</v>
      </c>
      <c r="B30" s="349">
        <f>1349.8</f>
        <v>1349.8</v>
      </c>
      <c r="C30" s="349">
        <f>B30</f>
        <v>1349.8</v>
      </c>
      <c r="D30" s="349">
        <f>3011.94</f>
        <v>3011.94</v>
      </c>
      <c r="E30" s="349">
        <f>D30</f>
        <v>3011.94</v>
      </c>
      <c r="F30" s="349">
        <f>E30</f>
        <v>3011.94</v>
      </c>
      <c r="G30" s="349">
        <f>F30</f>
        <v>3011.94</v>
      </c>
    </row>
    <row r="31" spans="1:7" x14ac:dyDescent="0.3">
      <c r="A31" s="352" t="s">
        <v>372</v>
      </c>
      <c r="B31" s="350">
        <f t="shared" ref="B31:G31" si="5">(B29)+(B30)</f>
        <v>1349.8</v>
      </c>
      <c r="C31" s="350">
        <f t="shared" si="5"/>
        <v>1349.8</v>
      </c>
      <c r="D31" s="350">
        <f t="shared" si="5"/>
        <v>3011.94</v>
      </c>
      <c r="E31" s="350">
        <f t="shared" si="5"/>
        <v>3011.94</v>
      </c>
      <c r="F31" s="350">
        <f t="shared" si="5"/>
        <v>3011.94</v>
      </c>
      <c r="G31" s="350">
        <f t="shared" si="5"/>
        <v>3011.94</v>
      </c>
    </row>
    <row r="32" spans="1:7" x14ac:dyDescent="0.3">
      <c r="A32" s="352" t="s">
        <v>373</v>
      </c>
      <c r="B32" s="349">
        <f>18890.23</f>
        <v>18890.23</v>
      </c>
      <c r="C32" s="349">
        <f>B32</f>
        <v>18890.23</v>
      </c>
      <c r="D32" s="349">
        <f>C32</f>
        <v>18890.23</v>
      </c>
      <c r="E32" s="349">
        <f>D32</f>
        <v>18890.23</v>
      </c>
      <c r="F32" s="349">
        <f>E32</f>
        <v>18890.23</v>
      </c>
      <c r="G32" s="349">
        <f>F32</f>
        <v>18890.23</v>
      </c>
    </row>
    <row r="33" spans="1:7" x14ac:dyDescent="0.3">
      <c r="A33" s="352" t="s">
        <v>374</v>
      </c>
      <c r="B33" s="350">
        <f t="shared" ref="B33:G33" si="6">(B31)+(B32)</f>
        <v>20240.03</v>
      </c>
      <c r="C33" s="350">
        <f t="shared" si="6"/>
        <v>20240.03</v>
      </c>
      <c r="D33" s="350">
        <f t="shared" si="6"/>
        <v>21902.17</v>
      </c>
      <c r="E33" s="350">
        <f t="shared" si="6"/>
        <v>21902.17</v>
      </c>
      <c r="F33" s="350">
        <f t="shared" si="6"/>
        <v>21902.17</v>
      </c>
      <c r="G33" s="350">
        <f t="shared" si="6"/>
        <v>21902.17</v>
      </c>
    </row>
    <row r="34" spans="1:7" x14ac:dyDescent="0.3">
      <c r="A34" s="352" t="s">
        <v>337</v>
      </c>
      <c r="B34" s="350">
        <f t="shared" ref="B34:G34" si="7">(B27)+(B33)</f>
        <v>1256821.8600000001</v>
      </c>
      <c r="C34" s="350">
        <f t="shared" si="7"/>
        <v>1407779.95</v>
      </c>
      <c r="D34" s="350">
        <f t="shared" si="7"/>
        <v>1884468.19</v>
      </c>
      <c r="E34" s="350">
        <f t="shared" si="7"/>
        <v>1979821.76</v>
      </c>
      <c r="F34" s="350">
        <f t="shared" si="7"/>
        <v>3193928.4299999997</v>
      </c>
      <c r="G34" s="350">
        <f t="shared" si="7"/>
        <v>3725990.87</v>
      </c>
    </row>
    <row r="35" spans="1:7" x14ac:dyDescent="0.3">
      <c r="A35" s="352" t="s">
        <v>336</v>
      </c>
      <c r="B35" s="348"/>
      <c r="C35" s="348"/>
      <c r="D35" s="348"/>
      <c r="E35" s="348"/>
      <c r="F35" s="348"/>
      <c r="G35" s="348"/>
    </row>
    <row r="36" spans="1:7" x14ac:dyDescent="0.3">
      <c r="A36" s="352" t="s">
        <v>335</v>
      </c>
      <c r="B36" s="348"/>
      <c r="C36" s="348"/>
      <c r="D36" s="348"/>
      <c r="E36" s="348"/>
      <c r="F36" s="348"/>
      <c r="G36" s="348"/>
    </row>
    <row r="37" spans="1:7" x14ac:dyDescent="0.3">
      <c r="A37" s="352" t="s">
        <v>334</v>
      </c>
      <c r="B37" s="348"/>
      <c r="C37" s="348"/>
      <c r="D37" s="348"/>
      <c r="E37" s="348"/>
      <c r="F37" s="348"/>
      <c r="G37" s="348"/>
    </row>
    <row r="38" spans="1:7" x14ac:dyDescent="0.3">
      <c r="A38" s="352" t="s">
        <v>333</v>
      </c>
      <c r="B38" s="348"/>
      <c r="C38" s="348"/>
      <c r="D38" s="348"/>
      <c r="E38" s="348"/>
      <c r="F38" s="348"/>
      <c r="G38" s="348"/>
    </row>
    <row r="39" spans="1:7" x14ac:dyDescent="0.3">
      <c r="A39" s="352" t="s">
        <v>332</v>
      </c>
      <c r="B39" s="348"/>
      <c r="C39" s="349">
        <f t="shared" ref="C39:F40" si="8">B39</f>
        <v>0</v>
      </c>
      <c r="D39" s="349">
        <f t="shared" si="8"/>
        <v>0</v>
      </c>
      <c r="E39" s="349">
        <f t="shared" si="8"/>
        <v>0</v>
      </c>
      <c r="F39" s="349">
        <f t="shared" si="8"/>
        <v>0</v>
      </c>
      <c r="G39" s="349">
        <f>0</f>
        <v>0</v>
      </c>
    </row>
    <row r="40" spans="1:7" x14ac:dyDescent="0.3">
      <c r="A40" s="352" t="s">
        <v>331</v>
      </c>
      <c r="B40" s="349">
        <f>0</f>
        <v>0</v>
      </c>
      <c r="C40" s="349">
        <f t="shared" si="8"/>
        <v>0</v>
      </c>
      <c r="D40" s="349">
        <f t="shared" si="8"/>
        <v>0</v>
      </c>
      <c r="E40" s="349">
        <f t="shared" si="8"/>
        <v>0</v>
      </c>
      <c r="F40" s="349">
        <f t="shared" si="8"/>
        <v>0</v>
      </c>
      <c r="G40" s="349">
        <f>F40</f>
        <v>0</v>
      </c>
    </row>
    <row r="41" spans="1:7" x14ac:dyDescent="0.3">
      <c r="A41" s="352" t="s">
        <v>330</v>
      </c>
      <c r="B41" s="350">
        <f t="shared" ref="B41:G41" si="9">(B39)+(B40)</f>
        <v>0</v>
      </c>
      <c r="C41" s="350">
        <f t="shared" si="9"/>
        <v>0</v>
      </c>
      <c r="D41" s="350">
        <f t="shared" si="9"/>
        <v>0</v>
      </c>
      <c r="E41" s="350">
        <f t="shared" si="9"/>
        <v>0</v>
      </c>
      <c r="F41" s="350">
        <f t="shared" si="9"/>
        <v>0</v>
      </c>
      <c r="G41" s="350">
        <f t="shared" si="9"/>
        <v>0</v>
      </c>
    </row>
    <row r="42" spans="1:7" x14ac:dyDescent="0.3">
      <c r="A42" s="352" t="s">
        <v>329</v>
      </c>
      <c r="B42" s="348"/>
      <c r="C42" s="348"/>
      <c r="D42" s="348"/>
      <c r="E42" s="348"/>
      <c r="F42" s="348"/>
      <c r="G42" s="348"/>
    </row>
    <row r="43" spans="1:7" x14ac:dyDescent="0.3">
      <c r="A43" s="352" t="s">
        <v>375</v>
      </c>
      <c r="B43" s="349">
        <f>13481.33</f>
        <v>13481.33</v>
      </c>
      <c r="C43" s="349">
        <f>10749.11</f>
        <v>10749.11</v>
      </c>
      <c r="D43" s="349">
        <f>35084.18</f>
        <v>35084.18</v>
      </c>
      <c r="E43" s="349">
        <f>14355.99</f>
        <v>14355.99</v>
      </c>
      <c r="F43" s="349">
        <f>84907.67</f>
        <v>84907.67</v>
      </c>
      <c r="G43" s="349">
        <f>7969.04</f>
        <v>7969.04</v>
      </c>
    </row>
    <row r="44" spans="1:7" x14ac:dyDescent="0.3">
      <c r="A44" s="352" t="s">
        <v>328</v>
      </c>
      <c r="B44" s="349">
        <f>0</f>
        <v>0</v>
      </c>
      <c r="C44" s="349">
        <f>B44</f>
        <v>0</v>
      </c>
      <c r="D44" s="349">
        <f>C44</f>
        <v>0</v>
      </c>
      <c r="E44" s="349">
        <f>D44</f>
        <v>0</v>
      </c>
      <c r="F44" s="349">
        <f>E44</f>
        <v>0</v>
      </c>
      <c r="G44" s="349">
        <f>F44</f>
        <v>0</v>
      </c>
    </row>
    <row r="45" spans="1:7" x14ac:dyDescent="0.3">
      <c r="A45" s="352" t="s">
        <v>327</v>
      </c>
      <c r="B45" s="349">
        <f>243602.19</f>
        <v>243602.19</v>
      </c>
      <c r="C45" s="349">
        <f>209818.51</f>
        <v>209818.51</v>
      </c>
      <c r="D45" s="349">
        <f>128431.86</f>
        <v>128431.86</v>
      </c>
      <c r="E45" s="349">
        <f>45653.77</f>
        <v>45653.77</v>
      </c>
      <c r="F45" s="349">
        <f>23170.11</f>
        <v>23170.11</v>
      </c>
      <c r="G45" s="349">
        <f>22222.94</f>
        <v>22222.94</v>
      </c>
    </row>
    <row r="46" spans="1:7" x14ac:dyDescent="0.3">
      <c r="A46" s="352" t="s">
        <v>326</v>
      </c>
      <c r="B46" s="349">
        <f>1601.98</f>
        <v>1601.98</v>
      </c>
      <c r="C46" s="349">
        <f>2173.78</f>
        <v>2173.7800000000002</v>
      </c>
      <c r="D46" s="349">
        <f>8784.36</f>
        <v>8784.36</v>
      </c>
      <c r="E46" s="349">
        <f>1940.57</f>
        <v>1940.57</v>
      </c>
      <c r="F46" s="349">
        <f>17875.98</f>
        <v>17875.98</v>
      </c>
      <c r="G46" s="349">
        <f>24401.62</f>
        <v>24401.62</v>
      </c>
    </row>
    <row r="47" spans="1:7" x14ac:dyDescent="0.3">
      <c r="A47" s="352" t="s">
        <v>325</v>
      </c>
      <c r="B47" s="349">
        <f>0</f>
        <v>0</v>
      </c>
      <c r="C47" s="349">
        <f t="shared" ref="C47:G48" si="10">B47</f>
        <v>0</v>
      </c>
      <c r="D47" s="349">
        <f t="shared" si="10"/>
        <v>0</v>
      </c>
      <c r="E47" s="349">
        <f t="shared" si="10"/>
        <v>0</v>
      </c>
      <c r="F47" s="349">
        <f t="shared" si="10"/>
        <v>0</v>
      </c>
      <c r="G47" s="349">
        <f t="shared" si="10"/>
        <v>0</v>
      </c>
    </row>
    <row r="48" spans="1:7" x14ac:dyDescent="0.3">
      <c r="A48" s="352" t="s">
        <v>324</v>
      </c>
      <c r="B48" s="349">
        <f>0</f>
        <v>0</v>
      </c>
      <c r="C48" s="349">
        <f t="shared" si="10"/>
        <v>0</v>
      </c>
      <c r="D48" s="349">
        <f t="shared" si="10"/>
        <v>0</v>
      </c>
      <c r="E48" s="349">
        <f t="shared" si="10"/>
        <v>0</v>
      </c>
      <c r="F48" s="349">
        <f t="shared" si="10"/>
        <v>0</v>
      </c>
      <c r="G48" s="349">
        <f t="shared" si="10"/>
        <v>0</v>
      </c>
    </row>
    <row r="49" spans="1:7" x14ac:dyDescent="0.3">
      <c r="A49" s="352" t="s">
        <v>376</v>
      </c>
      <c r="B49" s="349">
        <f>11646.37</f>
        <v>11646.37</v>
      </c>
      <c r="C49" s="349">
        <f>11652.79</f>
        <v>11652.79</v>
      </c>
      <c r="D49" s="349">
        <f>C49</f>
        <v>11652.79</v>
      </c>
      <c r="E49" s="349">
        <f>D49</f>
        <v>11652.79</v>
      </c>
      <c r="F49" s="349">
        <f>11677.79</f>
        <v>11677.79</v>
      </c>
      <c r="G49" s="349">
        <f>11696.33</f>
        <v>11696.33</v>
      </c>
    </row>
    <row r="50" spans="1:7" x14ac:dyDescent="0.3">
      <c r="A50" s="352" t="s">
        <v>377</v>
      </c>
      <c r="B50" s="349">
        <f>23973.75</f>
        <v>23973.75</v>
      </c>
      <c r="C50" s="349">
        <f>170632.91</f>
        <v>170632.91</v>
      </c>
      <c r="D50" s="349">
        <f>136045.09</f>
        <v>136045.09</v>
      </c>
      <c r="E50" s="349">
        <f>0</f>
        <v>0</v>
      </c>
      <c r="F50" s="349">
        <f>65326.73</f>
        <v>65326.73</v>
      </c>
      <c r="G50" s="349">
        <f>78814.67</f>
        <v>78814.67</v>
      </c>
    </row>
    <row r="51" spans="1:7" x14ac:dyDescent="0.3">
      <c r="A51" s="352" t="s">
        <v>378</v>
      </c>
      <c r="B51" s="349">
        <f>-25839.78</f>
        <v>-25839.78</v>
      </c>
      <c r="C51" s="349">
        <f>6729.31</f>
        <v>6729.31</v>
      </c>
      <c r="D51" s="349">
        <f>115484.67</f>
        <v>115484.67</v>
      </c>
      <c r="E51" s="349">
        <f>19175.12</f>
        <v>19175.12</v>
      </c>
      <c r="F51" s="349">
        <f>-133317.06</f>
        <v>-133317.06</v>
      </c>
      <c r="G51" s="349">
        <f>-132764.14</f>
        <v>-132764.14000000001</v>
      </c>
    </row>
    <row r="52" spans="1:7" x14ac:dyDescent="0.3">
      <c r="A52" s="352" t="s">
        <v>323</v>
      </c>
      <c r="B52" s="349">
        <f>47022.52</f>
        <v>47022.52</v>
      </c>
      <c r="C52" s="349">
        <f>106009</f>
        <v>106009</v>
      </c>
      <c r="D52" s="349">
        <f>106034.16</f>
        <v>106034.16</v>
      </c>
      <c r="E52" s="349">
        <f>84.23</f>
        <v>84.23</v>
      </c>
      <c r="F52" s="349">
        <f>-29975.04</f>
        <v>-29975.040000000001</v>
      </c>
      <c r="G52" s="349">
        <f>-109940.18</f>
        <v>-109940.18</v>
      </c>
    </row>
    <row r="53" spans="1:7" x14ac:dyDescent="0.3">
      <c r="A53" s="352" t="s">
        <v>379</v>
      </c>
      <c r="B53" s="349">
        <f>-2087.35</f>
        <v>-2087.35</v>
      </c>
      <c r="C53" s="349">
        <f>-2438.08</f>
        <v>-2438.08</v>
      </c>
      <c r="D53" s="349">
        <f>-2410.54</f>
        <v>-2410.54</v>
      </c>
      <c r="E53" s="349">
        <f>-1610.62</f>
        <v>-1610.62</v>
      </c>
      <c r="F53" s="349">
        <f>-2370.95</f>
        <v>-2370.9499999999998</v>
      </c>
      <c r="G53" s="349">
        <f>-2279.73</f>
        <v>-2279.73</v>
      </c>
    </row>
    <row r="54" spans="1:7" x14ac:dyDescent="0.3">
      <c r="A54" s="352" t="s">
        <v>516</v>
      </c>
      <c r="B54" s="349">
        <f>49093.36</f>
        <v>49093.36</v>
      </c>
      <c r="C54" s="349">
        <f t="shared" ref="C54:G55" si="11">B54</f>
        <v>49093.36</v>
      </c>
      <c r="D54" s="349">
        <f t="shared" si="11"/>
        <v>49093.36</v>
      </c>
      <c r="E54" s="349">
        <f t="shared" si="11"/>
        <v>49093.36</v>
      </c>
      <c r="F54" s="349">
        <f t="shared" si="11"/>
        <v>49093.36</v>
      </c>
      <c r="G54" s="349">
        <f t="shared" si="11"/>
        <v>49093.36</v>
      </c>
    </row>
    <row r="55" spans="1:7" x14ac:dyDescent="0.3">
      <c r="A55" s="352" t="s">
        <v>321</v>
      </c>
      <c r="B55" s="349">
        <f>3792.31</f>
        <v>3792.31</v>
      </c>
      <c r="C55" s="349">
        <f t="shared" si="11"/>
        <v>3792.31</v>
      </c>
      <c r="D55" s="349">
        <f t="shared" si="11"/>
        <v>3792.31</v>
      </c>
      <c r="E55" s="349">
        <f t="shared" si="11"/>
        <v>3792.31</v>
      </c>
      <c r="F55" s="349">
        <f t="shared" si="11"/>
        <v>3792.31</v>
      </c>
      <c r="G55" s="349">
        <f t="shared" si="11"/>
        <v>3792.31</v>
      </c>
    </row>
    <row r="56" spans="1:7" x14ac:dyDescent="0.3">
      <c r="A56" s="352" t="s">
        <v>517</v>
      </c>
      <c r="B56" s="350">
        <f t="shared" ref="B56:G56" si="12">(B54)+(B55)</f>
        <v>52885.67</v>
      </c>
      <c r="C56" s="350">
        <f t="shared" si="12"/>
        <v>52885.67</v>
      </c>
      <c r="D56" s="350">
        <f t="shared" si="12"/>
        <v>52885.67</v>
      </c>
      <c r="E56" s="350">
        <f t="shared" si="12"/>
        <v>52885.67</v>
      </c>
      <c r="F56" s="350">
        <f t="shared" si="12"/>
        <v>52885.67</v>
      </c>
      <c r="G56" s="350">
        <f t="shared" si="12"/>
        <v>52885.67</v>
      </c>
    </row>
    <row r="57" spans="1:7" x14ac:dyDescent="0.3">
      <c r="A57" s="352" t="s">
        <v>319</v>
      </c>
      <c r="B57" s="350">
        <f t="shared" ref="B57:G57" si="13">((((((((((B44)+(B45))+(B46))+(B47))+(B48))+(B49))+(B50))+(B51))+(B52))+(B53))+(B56)</f>
        <v>352805.35000000003</v>
      </c>
      <c r="C57" s="350">
        <f t="shared" si="13"/>
        <v>557463.89</v>
      </c>
      <c r="D57" s="350">
        <f t="shared" si="13"/>
        <v>556908.05999999994</v>
      </c>
      <c r="E57" s="350">
        <f t="shared" si="13"/>
        <v>129781.53</v>
      </c>
      <c r="F57" s="350">
        <f t="shared" si="13"/>
        <v>5273.2300000000032</v>
      </c>
      <c r="G57" s="350">
        <f t="shared" si="13"/>
        <v>-54962.820000000007</v>
      </c>
    </row>
    <row r="58" spans="1:7" x14ac:dyDescent="0.3">
      <c r="A58" s="352" t="s">
        <v>518</v>
      </c>
      <c r="B58" s="348"/>
      <c r="C58" s="349">
        <f t="shared" ref="C58:F61" si="14">B58</f>
        <v>0</v>
      </c>
      <c r="D58" s="349">
        <f t="shared" si="14"/>
        <v>0</v>
      </c>
      <c r="E58" s="349">
        <f t="shared" si="14"/>
        <v>0</v>
      </c>
      <c r="F58" s="349">
        <f t="shared" si="14"/>
        <v>0</v>
      </c>
      <c r="G58" s="349">
        <f>-111.67</f>
        <v>-111.67</v>
      </c>
    </row>
    <row r="59" spans="1:7" x14ac:dyDescent="0.3">
      <c r="A59" s="352" t="s">
        <v>519</v>
      </c>
      <c r="B59" s="349">
        <f>112934.07</f>
        <v>112934.07</v>
      </c>
      <c r="C59" s="349">
        <f t="shared" si="14"/>
        <v>112934.07</v>
      </c>
      <c r="D59" s="349">
        <f t="shared" si="14"/>
        <v>112934.07</v>
      </c>
      <c r="E59" s="349">
        <f t="shared" si="14"/>
        <v>112934.07</v>
      </c>
      <c r="F59" s="349">
        <f t="shared" si="14"/>
        <v>112934.07</v>
      </c>
      <c r="G59" s="349">
        <f>F59</f>
        <v>112934.07</v>
      </c>
    </row>
    <row r="60" spans="1:7" x14ac:dyDescent="0.3">
      <c r="A60" s="352" t="s">
        <v>520</v>
      </c>
      <c r="B60" s="348"/>
      <c r="C60" s="349">
        <f t="shared" si="14"/>
        <v>0</v>
      </c>
      <c r="D60" s="349">
        <f t="shared" si="14"/>
        <v>0</v>
      </c>
      <c r="E60" s="349">
        <f t="shared" si="14"/>
        <v>0</v>
      </c>
      <c r="F60" s="349">
        <f>-3316.47</f>
        <v>-3316.47</v>
      </c>
      <c r="G60" s="349">
        <f>F60</f>
        <v>-3316.47</v>
      </c>
    </row>
    <row r="61" spans="1:7" x14ac:dyDescent="0.3">
      <c r="A61" s="352" t="s">
        <v>318</v>
      </c>
      <c r="B61" s="348"/>
      <c r="C61" s="349">
        <f t="shared" si="14"/>
        <v>0</v>
      </c>
      <c r="D61" s="349">
        <f t="shared" si="14"/>
        <v>0</v>
      </c>
      <c r="E61" s="349">
        <f t="shared" si="14"/>
        <v>0</v>
      </c>
      <c r="F61" s="349">
        <f>E61</f>
        <v>0</v>
      </c>
      <c r="G61" s="349">
        <f>F61</f>
        <v>0</v>
      </c>
    </row>
    <row r="62" spans="1:7" x14ac:dyDescent="0.3">
      <c r="A62" s="352" t="s">
        <v>317</v>
      </c>
      <c r="B62" s="349">
        <f>38729.45</f>
        <v>38729.449999999997</v>
      </c>
      <c r="C62" s="349">
        <f>B62</f>
        <v>38729.449999999997</v>
      </c>
      <c r="D62" s="349">
        <f>C62</f>
        <v>38729.449999999997</v>
      </c>
      <c r="E62" s="349">
        <f>38722.91</f>
        <v>38722.910000000003</v>
      </c>
      <c r="F62" s="349">
        <f>E62</f>
        <v>38722.910000000003</v>
      </c>
      <c r="G62" s="349">
        <f>38697.91</f>
        <v>38697.910000000003</v>
      </c>
    </row>
    <row r="63" spans="1:7" x14ac:dyDescent="0.3">
      <c r="A63" s="352" t="s">
        <v>316</v>
      </c>
      <c r="B63" s="350">
        <f t="shared" ref="B63:G63" si="15">(B61)+(B62)</f>
        <v>38729.449999999997</v>
      </c>
      <c r="C63" s="350">
        <f t="shared" si="15"/>
        <v>38729.449999999997</v>
      </c>
      <c r="D63" s="350">
        <f t="shared" si="15"/>
        <v>38729.449999999997</v>
      </c>
      <c r="E63" s="350">
        <f t="shared" si="15"/>
        <v>38722.910000000003</v>
      </c>
      <c r="F63" s="350">
        <f t="shared" si="15"/>
        <v>38722.910000000003</v>
      </c>
      <c r="G63" s="350">
        <f t="shared" si="15"/>
        <v>38697.910000000003</v>
      </c>
    </row>
    <row r="64" spans="1:7" x14ac:dyDescent="0.3">
      <c r="A64" s="352" t="s">
        <v>315</v>
      </c>
      <c r="B64" s="349">
        <f>0</f>
        <v>0</v>
      </c>
      <c r="C64" s="349">
        <f>B64</f>
        <v>0</v>
      </c>
      <c r="D64" s="349">
        <f>C64</f>
        <v>0</v>
      </c>
      <c r="E64" s="349">
        <f>D64</f>
        <v>0</v>
      </c>
      <c r="F64" s="349">
        <f>E64</f>
        <v>0</v>
      </c>
      <c r="G64" s="349">
        <f>F64</f>
        <v>0</v>
      </c>
    </row>
    <row r="65" spans="1:7" x14ac:dyDescent="0.3">
      <c r="A65" s="352" t="s">
        <v>314</v>
      </c>
      <c r="B65" s="350">
        <f t="shared" ref="B65:G65" si="16">((((((B43)+(B57))+(B58))+(B59))+(B60))+(B63))+(B64)</f>
        <v>517950.20000000007</v>
      </c>
      <c r="C65" s="350">
        <f t="shared" si="16"/>
        <v>719876.52</v>
      </c>
      <c r="D65" s="350">
        <f t="shared" si="16"/>
        <v>743655.76</v>
      </c>
      <c r="E65" s="350">
        <f t="shared" si="16"/>
        <v>295794.5</v>
      </c>
      <c r="F65" s="350">
        <f t="shared" si="16"/>
        <v>238521.41</v>
      </c>
      <c r="G65" s="350">
        <f t="shared" si="16"/>
        <v>101210.06</v>
      </c>
    </row>
    <row r="66" spans="1:7" x14ac:dyDescent="0.3">
      <c r="A66" s="352" t="s">
        <v>313</v>
      </c>
      <c r="B66" s="348"/>
      <c r="C66" s="348"/>
      <c r="D66" s="348"/>
      <c r="E66" s="348"/>
      <c r="F66" s="348"/>
      <c r="G66" s="348"/>
    </row>
    <row r="67" spans="1:7" x14ac:dyDescent="0.3">
      <c r="A67" s="352" t="s">
        <v>312</v>
      </c>
      <c r="B67" s="349">
        <f>0</f>
        <v>0</v>
      </c>
      <c r="C67" s="349">
        <f t="shared" ref="C67:G68" si="17">B67</f>
        <v>0</v>
      </c>
      <c r="D67" s="349">
        <f t="shared" si="17"/>
        <v>0</v>
      </c>
      <c r="E67" s="349">
        <f t="shared" si="17"/>
        <v>0</v>
      </c>
      <c r="F67" s="349">
        <f t="shared" si="17"/>
        <v>0</v>
      </c>
      <c r="G67" s="349">
        <f t="shared" si="17"/>
        <v>0</v>
      </c>
    </row>
    <row r="68" spans="1:7" x14ac:dyDescent="0.3">
      <c r="A68" s="352" t="s">
        <v>311</v>
      </c>
      <c r="B68" s="349">
        <f>0</f>
        <v>0</v>
      </c>
      <c r="C68" s="349">
        <f t="shared" si="17"/>
        <v>0</v>
      </c>
      <c r="D68" s="349">
        <f t="shared" si="17"/>
        <v>0</v>
      </c>
      <c r="E68" s="349">
        <f t="shared" si="17"/>
        <v>0</v>
      </c>
      <c r="F68" s="349">
        <f t="shared" si="17"/>
        <v>0</v>
      </c>
      <c r="G68" s="349">
        <f t="shared" si="17"/>
        <v>0</v>
      </c>
    </row>
    <row r="69" spans="1:7" x14ac:dyDescent="0.3">
      <c r="A69" s="352" t="s">
        <v>310</v>
      </c>
      <c r="B69" s="349">
        <f>42530.08</f>
        <v>42530.080000000002</v>
      </c>
      <c r="C69" s="349">
        <f>36582.83</f>
        <v>36582.83</v>
      </c>
      <c r="D69" s="349">
        <f>30593.26</f>
        <v>30593.26</v>
      </c>
      <c r="E69" s="349">
        <f>24561.07</f>
        <v>24561.07</v>
      </c>
      <c r="F69" s="349">
        <f>18485.96</f>
        <v>18485.96</v>
      </c>
      <c r="G69" s="349">
        <f>12367.62</f>
        <v>12367.62</v>
      </c>
    </row>
    <row r="70" spans="1:7" x14ac:dyDescent="0.3">
      <c r="A70" s="352" t="s">
        <v>521</v>
      </c>
      <c r="B70" s="349">
        <f>5469</f>
        <v>5469</v>
      </c>
      <c r="C70" s="349">
        <f>15469</f>
        <v>15469</v>
      </c>
      <c r="D70" s="349">
        <f>C70</f>
        <v>15469</v>
      </c>
      <c r="E70" s="349">
        <f>D70</f>
        <v>15469</v>
      </c>
      <c r="F70" s="349">
        <f>729869</f>
        <v>729869</v>
      </c>
      <c r="G70" s="349">
        <f>714400</f>
        <v>714400</v>
      </c>
    </row>
    <row r="71" spans="1:7" x14ac:dyDescent="0.3">
      <c r="A71" s="352" t="s">
        <v>522</v>
      </c>
      <c r="B71" s="348"/>
      <c r="C71" s="349">
        <f>B71</f>
        <v>0</v>
      </c>
      <c r="D71" s="349">
        <f>-15469</f>
        <v>-15469</v>
      </c>
      <c r="E71" s="349">
        <f t="shared" ref="E71:F75" si="18">D71</f>
        <v>-15469</v>
      </c>
      <c r="F71" s="349">
        <f t="shared" si="18"/>
        <v>-15469</v>
      </c>
      <c r="G71" s="349">
        <f>0</f>
        <v>0</v>
      </c>
    </row>
    <row r="72" spans="1:7" x14ac:dyDescent="0.3">
      <c r="A72" s="352" t="s">
        <v>309</v>
      </c>
      <c r="B72" s="349">
        <f>0</f>
        <v>0</v>
      </c>
      <c r="C72" s="349">
        <f>B72</f>
        <v>0</v>
      </c>
      <c r="D72" s="349">
        <f>C72</f>
        <v>0</v>
      </c>
      <c r="E72" s="349">
        <f t="shared" si="18"/>
        <v>0</v>
      </c>
      <c r="F72" s="349">
        <f t="shared" si="18"/>
        <v>0</v>
      </c>
      <c r="G72" s="349">
        <f>F72</f>
        <v>0</v>
      </c>
    </row>
    <row r="73" spans="1:7" x14ac:dyDescent="0.3">
      <c r="A73" s="352" t="s">
        <v>308</v>
      </c>
      <c r="B73" s="349">
        <f>0</f>
        <v>0</v>
      </c>
      <c r="C73" s="349">
        <f>B73</f>
        <v>0</v>
      </c>
      <c r="D73" s="349">
        <f>C73</f>
        <v>0</v>
      </c>
      <c r="E73" s="349">
        <f t="shared" si="18"/>
        <v>0</v>
      </c>
      <c r="F73" s="349">
        <f t="shared" si="18"/>
        <v>0</v>
      </c>
      <c r="G73" s="349">
        <f>F73</f>
        <v>0</v>
      </c>
    </row>
    <row r="74" spans="1:7" x14ac:dyDescent="0.3">
      <c r="A74" s="352" t="s">
        <v>307</v>
      </c>
      <c r="B74" s="349">
        <f>0</f>
        <v>0</v>
      </c>
      <c r="C74" s="349">
        <f>B74</f>
        <v>0</v>
      </c>
      <c r="D74" s="349">
        <f>C74</f>
        <v>0</v>
      </c>
      <c r="E74" s="349">
        <f t="shared" si="18"/>
        <v>0</v>
      </c>
      <c r="F74" s="349">
        <f t="shared" si="18"/>
        <v>0</v>
      </c>
      <c r="G74" s="349">
        <f>F74</f>
        <v>0</v>
      </c>
    </row>
    <row r="75" spans="1:7" x14ac:dyDescent="0.3">
      <c r="A75" s="352" t="s">
        <v>306</v>
      </c>
      <c r="B75" s="349">
        <f>0</f>
        <v>0</v>
      </c>
      <c r="C75" s="349">
        <f>B75</f>
        <v>0</v>
      </c>
      <c r="D75" s="349">
        <f>C75</f>
        <v>0</v>
      </c>
      <c r="E75" s="349">
        <f t="shared" si="18"/>
        <v>0</v>
      </c>
      <c r="F75" s="349">
        <f t="shared" si="18"/>
        <v>0</v>
      </c>
      <c r="G75" s="349">
        <f>F75</f>
        <v>0</v>
      </c>
    </row>
    <row r="76" spans="1:7" x14ac:dyDescent="0.3">
      <c r="A76" s="352" t="s">
        <v>305</v>
      </c>
      <c r="B76" s="350">
        <f t="shared" ref="B76:G76" si="19">(B74)+(B75)</f>
        <v>0</v>
      </c>
      <c r="C76" s="350">
        <f t="shared" si="19"/>
        <v>0</v>
      </c>
      <c r="D76" s="350">
        <f t="shared" si="19"/>
        <v>0</v>
      </c>
      <c r="E76" s="350">
        <f t="shared" si="19"/>
        <v>0</v>
      </c>
      <c r="F76" s="350">
        <f t="shared" si="19"/>
        <v>0</v>
      </c>
      <c r="G76" s="350">
        <f t="shared" si="19"/>
        <v>0</v>
      </c>
    </row>
    <row r="77" spans="1:7" x14ac:dyDescent="0.3">
      <c r="A77" s="352" t="s">
        <v>304</v>
      </c>
      <c r="B77" s="349">
        <f>0</f>
        <v>0</v>
      </c>
      <c r="C77" s="349">
        <f t="shared" ref="C77:G81" si="20">B77</f>
        <v>0</v>
      </c>
      <c r="D77" s="349">
        <f t="shared" si="20"/>
        <v>0</v>
      </c>
      <c r="E77" s="349">
        <f t="shared" si="20"/>
        <v>0</v>
      </c>
      <c r="F77" s="349">
        <f t="shared" si="20"/>
        <v>0</v>
      </c>
      <c r="G77" s="349">
        <f t="shared" si="20"/>
        <v>0</v>
      </c>
    </row>
    <row r="78" spans="1:7" x14ac:dyDescent="0.3">
      <c r="A78" s="352" t="s">
        <v>303</v>
      </c>
      <c r="B78" s="349">
        <f>0</f>
        <v>0</v>
      </c>
      <c r="C78" s="349">
        <f t="shared" si="20"/>
        <v>0</v>
      </c>
      <c r="D78" s="349">
        <f t="shared" si="20"/>
        <v>0</v>
      </c>
      <c r="E78" s="349">
        <f t="shared" si="20"/>
        <v>0</v>
      </c>
      <c r="F78" s="349">
        <f t="shared" si="20"/>
        <v>0</v>
      </c>
      <c r="G78" s="349">
        <f t="shared" si="20"/>
        <v>0</v>
      </c>
    </row>
    <row r="79" spans="1:7" x14ac:dyDescent="0.3">
      <c r="A79" s="352" t="s">
        <v>302</v>
      </c>
      <c r="B79" s="349">
        <f>0</f>
        <v>0</v>
      </c>
      <c r="C79" s="349">
        <f t="shared" si="20"/>
        <v>0</v>
      </c>
      <c r="D79" s="349">
        <f t="shared" si="20"/>
        <v>0</v>
      </c>
      <c r="E79" s="349">
        <f t="shared" si="20"/>
        <v>0</v>
      </c>
      <c r="F79" s="349">
        <f t="shared" si="20"/>
        <v>0</v>
      </c>
      <c r="G79" s="349">
        <f t="shared" si="20"/>
        <v>0</v>
      </c>
    </row>
    <row r="80" spans="1:7" x14ac:dyDescent="0.3">
      <c r="A80" s="352" t="s">
        <v>301</v>
      </c>
      <c r="B80" s="349">
        <f>0</f>
        <v>0</v>
      </c>
      <c r="C80" s="349">
        <f t="shared" si="20"/>
        <v>0</v>
      </c>
      <c r="D80" s="349">
        <f t="shared" si="20"/>
        <v>0</v>
      </c>
      <c r="E80" s="349">
        <f t="shared" si="20"/>
        <v>0</v>
      </c>
      <c r="F80" s="349">
        <f t="shared" si="20"/>
        <v>0</v>
      </c>
      <c r="G80" s="349">
        <f t="shared" si="20"/>
        <v>0</v>
      </c>
    </row>
    <row r="81" spans="1:7" x14ac:dyDescent="0.3">
      <c r="A81" s="352" t="s">
        <v>300</v>
      </c>
      <c r="B81" s="349">
        <f>-1598</f>
        <v>-1598</v>
      </c>
      <c r="C81" s="349">
        <f t="shared" si="20"/>
        <v>-1598</v>
      </c>
      <c r="D81" s="349">
        <f t="shared" si="20"/>
        <v>-1598</v>
      </c>
      <c r="E81" s="349">
        <f t="shared" si="20"/>
        <v>-1598</v>
      </c>
      <c r="F81" s="349">
        <f t="shared" si="20"/>
        <v>-1598</v>
      </c>
      <c r="G81" s="349">
        <f t="shared" si="20"/>
        <v>-1598</v>
      </c>
    </row>
    <row r="82" spans="1:7" x14ac:dyDescent="0.3">
      <c r="A82" s="352" t="s">
        <v>299</v>
      </c>
      <c r="B82" s="350">
        <f t="shared" ref="B82:G82" si="21">(((B78)+(B79))+(B80))+(B81)</f>
        <v>-1598</v>
      </c>
      <c r="C82" s="350">
        <f t="shared" si="21"/>
        <v>-1598</v>
      </c>
      <c r="D82" s="350">
        <f t="shared" si="21"/>
        <v>-1598</v>
      </c>
      <c r="E82" s="350">
        <f t="shared" si="21"/>
        <v>-1598</v>
      </c>
      <c r="F82" s="350">
        <f t="shared" si="21"/>
        <v>-1598</v>
      </c>
      <c r="G82" s="350">
        <f t="shared" si="21"/>
        <v>-1598</v>
      </c>
    </row>
    <row r="83" spans="1:7" x14ac:dyDescent="0.3">
      <c r="A83" s="352" t="s">
        <v>298</v>
      </c>
      <c r="B83" s="349">
        <f>11029.96</f>
        <v>11029.96</v>
      </c>
      <c r="C83" s="349">
        <f>B83</f>
        <v>11029.96</v>
      </c>
      <c r="D83" s="349">
        <f>C83</f>
        <v>11029.96</v>
      </c>
      <c r="E83" s="349">
        <f>D83</f>
        <v>11029.96</v>
      </c>
      <c r="F83" s="349">
        <f>134849.07</f>
        <v>134849.07</v>
      </c>
      <c r="G83" s="349">
        <f>112909.8</f>
        <v>112909.8</v>
      </c>
    </row>
    <row r="84" spans="1:7" x14ac:dyDescent="0.3">
      <c r="A84" s="352" t="s">
        <v>297</v>
      </c>
      <c r="B84" s="350">
        <f t="shared" ref="B84:G84" si="22">((((((((((B67)+(B68))+(B69))+(B70))+(B71))+(B72))+(B73))+(B76))+(B77))+(B82))+(B83)</f>
        <v>57431.040000000001</v>
      </c>
      <c r="C84" s="350">
        <f t="shared" si="22"/>
        <v>61483.79</v>
      </c>
      <c r="D84" s="350">
        <f t="shared" si="22"/>
        <v>40025.219999999994</v>
      </c>
      <c r="E84" s="350">
        <f t="shared" si="22"/>
        <v>33993.03</v>
      </c>
      <c r="F84" s="350">
        <f t="shared" si="22"/>
        <v>866137.03</v>
      </c>
      <c r="G84" s="350">
        <f t="shared" si="22"/>
        <v>838079.42</v>
      </c>
    </row>
    <row r="85" spans="1:7" x14ac:dyDescent="0.3">
      <c r="A85" s="352" t="s">
        <v>296</v>
      </c>
      <c r="B85" s="350">
        <f t="shared" ref="B85:G85" si="23">((B41)+(B65))+(B84)</f>
        <v>575381.24000000011</v>
      </c>
      <c r="C85" s="350">
        <f t="shared" si="23"/>
        <v>781360.31</v>
      </c>
      <c r="D85" s="350">
        <f t="shared" si="23"/>
        <v>783680.98</v>
      </c>
      <c r="E85" s="350">
        <f t="shared" si="23"/>
        <v>329787.53000000003</v>
      </c>
      <c r="F85" s="350">
        <f t="shared" si="23"/>
        <v>1104658.44</v>
      </c>
      <c r="G85" s="350">
        <f t="shared" si="23"/>
        <v>939289.48</v>
      </c>
    </row>
    <row r="86" spans="1:7" x14ac:dyDescent="0.3">
      <c r="A86" s="352" t="s">
        <v>295</v>
      </c>
      <c r="B86" s="348"/>
      <c r="C86" s="348"/>
      <c r="D86" s="348"/>
      <c r="E86" s="348"/>
      <c r="F86" s="348"/>
      <c r="G86" s="348"/>
    </row>
    <row r="87" spans="1:7" x14ac:dyDescent="0.3">
      <c r="A87" s="352" t="s">
        <v>294</v>
      </c>
      <c r="B87" s="348"/>
      <c r="C87" s="349">
        <f t="shared" ref="C87:G89" si="24">B87</f>
        <v>0</v>
      </c>
      <c r="D87" s="349">
        <f t="shared" si="24"/>
        <v>0</v>
      </c>
      <c r="E87" s="349">
        <f t="shared" si="24"/>
        <v>0</v>
      </c>
      <c r="F87" s="349">
        <f t="shared" si="24"/>
        <v>0</v>
      </c>
      <c r="G87" s="349">
        <f t="shared" si="24"/>
        <v>0</v>
      </c>
    </row>
    <row r="88" spans="1:7" x14ac:dyDescent="0.3">
      <c r="A88" s="352" t="s">
        <v>293</v>
      </c>
      <c r="B88" s="349">
        <f>0</f>
        <v>0</v>
      </c>
      <c r="C88" s="349">
        <f t="shared" si="24"/>
        <v>0</v>
      </c>
      <c r="D88" s="349">
        <f t="shared" si="24"/>
        <v>0</v>
      </c>
      <c r="E88" s="349">
        <f t="shared" si="24"/>
        <v>0</v>
      </c>
      <c r="F88" s="349">
        <f t="shared" si="24"/>
        <v>0</v>
      </c>
      <c r="G88" s="349">
        <f t="shared" si="24"/>
        <v>0</v>
      </c>
    </row>
    <row r="89" spans="1:7" x14ac:dyDescent="0.3">
      <c r="A89" s="352" t="s">
        <v>292</v>
      </c>
      <c r="B89" s="349">
        <f>0</f>
        <v>0</v>
      </c>
      <c r="C89" s="349">
        <f t="shared" si="24"/>
        <v>0</v>
      </c>
      <c r="D89" s="349">
        <f t="shared" si="24"/>
        <v>0</v>
      </c>
      <c r="E89" s="349">
        <f t="shared" si="24"/>
        <v>0</v>
      </c>
      <c r="F89" s="349">
        <f t="shared" si="24"/>
        <v>0</v>
      </c>
      <c r="G89" s="349">
        <f t="shared" si="24"/>
        <v>0</v>
      </c>
    </row>
    <row r="90" spans="1:7" x14ac:dyDescent="0.3">
      <c r="A90" s="352" t="s">
        <v>291</v>
      </c>
      <c r="B90" s="350">
        <f t="shared" ref="B90:G90" si="25">(B88)+(B89)</f>
        <v>0</v>
      </c>
      <c r="C90" s="350">
        <f t="shared" si="25"/>
        <v>0</v>
      </c>
      <c r="D90" s="350">
        <f t="shared" si="25"/>
        <v>0</v>
      </c>
      <c r="E90" s="350">
        <f t="shared" si="25"/>
        <v>0</v>
      </c>
      <c r="F90" s="350">
        <f t="shared" si="25"/>
        <v>0</v>
      </c>
      <c r="G90" s="350">
        <f t="shared" si="25"/>
        <v>0</v>
      </c>
    </row>
    <row r="91" spans="1:7" x14ac:dyDescent="0.3">
      <c r="A91" s="352" t="s">
        <v>290</v>
      </c>
      <c r="B91" s="349">
        <f>0</f>
        <v>0</v>
      </c>
      <c r="C91" s="349">
        <f t="shared" ref="C91:G92" si="26">B91</f>
        <v>0</v>
      </c>
      <c r="D91" s="349">
        <f t="shared" si="26"/>
        <v>0</v>
      </c>
      <c r="E91" s="349">
        <f t="shared" si="26"/>
        <v>0</v>
      </c>
      <c r="F91" s="349">
        <f t="shared" si="26"/>
        <v>0</v>
      </c>
      <c r="G91" s="349">
        <f t="shared" si="26"/>
        <v>0</v>
      </c>
    </row>
    <row r="92" spans="1:7" x14ac:dyDescent="0.3">
      <c r="A92" s="352" t="s">
        <v>289</v>
      </c>
      <c r="B92" s="349">
        <f>0</f>
        <v>0</v>
      </c>
      <c r="C92" s="349">
        <f t="shared" si="26"/>
        <v>0</v>
      </c>
      <c r="D92" s="349">
        <f t="shared" si="26"/>
        <v>0</v>
      </c>
      <c r="E92" s="349">
        <f t="shared" si="26"/>
        <v>0</v>
      </c>
      <c r="F92" s="349">
        <f t="shared" si="26"/>
        <v>0</v>
      </c>
      <c r="G92" s="349">
        <f t="shared" si="26"/>
        <v>0</v>
      </c>
    </row>
    <row r="93" spans="1:7" x14ac:dyDescent="0.3">
      <c r="A93" s="352" t="s">
        <v>288</v>
      </c>
      <c r="B93" s="350">
        <f t="shared" ref="B93:G93" si="27">(B91)+(B92)</f>
        <v>0</v>
      </c>
      <c r="C93" s="350">
        <f t="shared" si="27"/>
        <v>0</v>
      </c>
      <c r="D93" s="350">
        <f t="shared" si="27"/>
        <v>0</v>
      </c>
      <c r="E93" s="350">
        <f t="shared" si="27"/>
        <v>0</v>
      </c>
      <c r="F93" s="350">
        <f t="shared" si="27"/>
        <v>0</v>
      </c>
      <c r="G93" s="350">
        <f t="shared" si="27"/>
        <v>0</v>
      </c>
    </row>
    <row r="94" spans="1:7" x14ac:dyDescent="0.3">
      <c r="A94" s="352" t="s">
        <v>287</v>
      </c>
      <c r="B94" s="349">
        <f>0</f>
        <v>0</v>
      </c>
      <c r="C94" s="349">
        <f t="shared" ref="C94:G95" si="28">B94</f>
        <v>0</v>
      </c>
      <c r="D94" s="349">
        <f t="shared" si="28"/>
        <v>0</v>
      </c>
      <c r="E94" s="349">
        <f t="shared" si="28"/>
        <v>0</v>
      </c>
      <c r="F94" s="349">
        <f t="shared" si="28"/>
        <v>0</v>
      </c>
      <c r="G94" s="349">
        <f t="shared" si="28"/>
        <v>0</v>
      </c>
    </row>
    <row r="95" spans="1:7" x14ac:dyDescent="0.3">
      <c r="A95" s="352" t="s">
        <v>286</v>
      </c>
      <c r="B95" s="349">
        <f>0</f>
        <v>0</v>
      </c>
      <c r="C95" s="349">
        <f t="shared" si="28"/>
        <v>0</v>
      </c>
      <c r="D95" s="349">
        <f t="shared" si="28"/>
        <v>0</v>
      </c>
      <c r="E95" s="349">
        <f t="shared" si="28"/>
        <v>0</v>
      </c>
      <c r="F95" s="349">
        <f t="shared" si="28"/>
        <v>0</v>
      </c>
      <c r="G95" s="349">
        <f t="shared" si="28"/>
        <v>0</v>
      </c>
    </row>
    <row r="96" spans="1:7" x14ac:dyDescent="0.3">
      <c r="A96" s="352" t="s">
        <v>285</v>
      </c>
      <c r="B96" s="350">
        <f t="shared" ref="B96:G96" si="29">(B94)+(B95)</f>
        <v>0</v>
      </c>
      <c r="C96" s="350">
        <f t="shared" si="29"/>
        <v>0</v>
      </c>
      <c r="D96" s="350">
        <f t="shared" si="29"/>
        <v>0</v>
      </c>
      <c r="E96" s="350">
        <f t="shared" si="29"/>
        <v>0</v>
      </c>
      <c r="F96" s="350">
        <f t="shared" si="29"/>
        <v>0</v>
      </c>
      <c r="G96" s="350">
        <f t="shared" si="29"/>
        <v>0</v>
      </c>
    </row>
    <row r="97" spans="1:7" x14ac:dyDescent="0.3">
      <c r="A97" s="352" t="s">
        <v>284</v>
      </c>
      <c r="B97" s="350">
        <f t="shared" ref="B97:G97" si="30">(((B87)+(B90))+(B93))+(B96)</f>
        <v>0</v>
      </c>
      <c r="C97" s="350">
        <f t="shared" si="30"/>
        <v>0</v>
      </c>
      <c r="D97" s="350">
        <f t="shared" si="30"/>
        <v>0</v>
      </c>
      <c r="E97" s="350">
        <f t="shared" si="30"/>
        <v>0</v>
      </c>
      <c r="F97" s="350">
        <f t="shared" si="30"/>
        <v>0</v>
      </c>
      <c r="G97" s="350">
        <f t="shared" si="30"/>
        <v>0</v>
      </c>
    </row>
    <row r="98" spans="1:7" x14ac:dyDescent="0.3">
      <c r="A98" s="352" t="s">
        <v>283</v>
      </c>
      <c r="B98" s="350">
        <f t="shared" ref="B98:G98" si="31">B97</f>
        <v>0</v>
      </c>
      <c r="C98" s="350">
        <f t="shared" si="31"/>
        <v>0</v>
      </c>
      <c r="D98" s="350">
        <f t="shared" si="31"/>
        <v>0</v>
      </c>
      <c r="E98" s="350">
        <f t="shared" si="31"/>
        <v>0</v>
      </c>
      <c r="F98" s="350">
        <f t="shared" si="31"/>
        <v>0</v>
      </c>
      <c r="G98" s="350">
        <f t="shared" si="31"/>
        <v>0</v>
      </c>
    </row>
    <row r="99" spans="1:7" x14ac:dyDescent="0.3">
      <c r="A99" s="352" t="s">
        <v>282</v>
      </c>
      <c r="B99" s="350">
        <f t="shared" ref="B99:G99" si="32">(B85)+(B98)</f>
        <v>575381.24000000011</v>
      </c>
      <c r="C99" s="350">
        <f t="shared" si="32"/>
        <v>781360.31</v>
      </c>
      <c r="D99" s="350">
        <f t="shared" si="32"/>
        <v>783680.98</v>
      </c>
      <c r="E99" s="350">
        <f t="shared" si="32"/>
        <v>329787.53000000003</v>
      </c>
      <c r="F99" s="350">
        <f t="shared" si="32"/>
        <v>1104658.44</v>
      </c>
      <c r="G99" s="350">
        <f t="shared" si="32"/>
        <v>939289.48</v>
      </c>
    </row>
    <row r="100" spans="1:7" x14ac:dyDescent="0.3">
      <c r="A100" s="352" t="s">
        <v>281</v>
      </c>
      <c r="B100" s="348"/>
      <c r="C100" s="348"/>
      <c r="D100" s="348"/>
      <c r="E100" s="348"/>
      <c r="F100" s="348"/>
      <c r="G100" s="348"/>
    </row>
    <row r="101" spans="1:7" x14ac:dyDescent="0.3">
      <c r="A101" s="352" t="s">
        <v>280</v>
      </c>
      <c r="B101" s="349">
        <f>5000</f>
        <v>5000</v>
      </c>
      <c r="C101" s="349">
        <f>B101</f>
        <v>5000</v>
      </c>
      <c r="D101" s="349">
        <f>C101</f>
        <v>5000</v>
      </c>
      <c r="E101" s="349">
        <f>D101</f>
        <v>5000</v>
      </c>
      <c r="F101" s="349">
        <f>E101</f>
        <v>5000</v>
      </c>
      <c r="G101" s="349">
        <f>F101</f>
        <v>5000</v>
      </c>
    </row>
    <row r="102" spans="1:7" x14ac:dyDescent="0.3">
      <c r="A102" s="352" t="s">
        <v>380</v>
      </c>
      <c r="B102" s="349">
        <f>-110400.19</f>
        <v>-110400.19</v>
      </c>
      <c r="C102" s="349">
        <f t="shared" ref="C102:G106" si="33">B102</f>
        <v>-110400.19</v>
      </c>
      <c r="D102" s="349">
        <f t="shared" si="33"/>
        <v>-110400.19</v>
      </c>
      <c r="E102" s="349">
        <f t="shared" si="33"/>
        <v>-110400.19</v>
      </c>
      <c r="F102" s="349">
        <f>-107083.72</f>
        <v>-107083.72</v>
      </c>
      <c r="G102" s="349">
        <f>-106972.05</f>
        <v>-106972.05</v>
      </c>
    </row>
    <row r="103" spans="1:7" x14ac:dyDescent="0.3">
      <c r="A103" s="352" t="s">
        <v>279</v>
      </c>
      <c r="B103" s="348"/>
      <c r="C103" s="349">
        <f t="shared" si="33"/>
        <v>0</v>
      </c>
      <c r="D103" s="349">
        <f t="shared" si="33"/>
        <v>0</v>
      </c>
      <c r="E103" s="349">
        <f t="shared" si="33"/>
        <v>0</v>
      </c>
      <c r="F103" s="349">
        <f t="shared" si="33"/>
        <v>0</v>
      </c>
      <c r="G103" s="349">
        <f t="shared" si="33"/>
        <v>0</v>
      </c>
    </row>
    <row r="104" spans="1:7" x14ac:dyDescent="0.3">
      <c r="A104" s="352" t="s">
        <v>278</v>
      </c>
      <c r="B104" s="348"/>
      <c r="C104" s="349">
        <f t="shared" si="33"/>
        <v>0</v>
      </c>
      <c r="D104" s="349">
        <f t="shared" si="33"/>
        <v>0</v>
      </c>
      <c r="E104" s="349">
        <f t="shared" si="33"/>
        <v>0</v>
      </c>
      <c r="F104" s="349">
        <f t="shared" si="33"/>
        <v>0</v>
      </c>
      <c r="G104" s="349">
        <f t="shared" si="33"/>
        <v>0</v>
      </c>
    </row>
    <row r="105" spans="1:7" x14ac:dyDescent="0.3">
      <c r="A105" s="352" t="s">
        <v>277</v>
      </c>
      <c r="B105" s="349">
        <f>0</f>
        <v>0</v>
      </c>
      <c r="C105" s="349">
        <f t="shared" si="33"/>
        <v>0</v>
      </c>
      <c r="D105" s="349">
        <f t="shared" si="33"/>
        <v>0</v>
      </c>
      <c r="E105" s="349">
        <f t="shared" si="33"/>
        <v>0</v>
      </c>
      <c r="F105" s="349">
        <f t="shared" si="33"/>
        <v>0</v>
      </c>
      <c r="G105" s="349">
        <f t="shared" si="33"/>
        <v>0</v>
      </c>
    </row>
    <row r="106" spans="1:7" x14ac:dyDescent="0.3">
      <c r="A106" s="352" t="s">
        <v>276</v>
      </c>
      <c r="B106" s="349">
        <f>0</f>
        <v>0</v>
      </c>
      <c r="C106" s="349">
        <f t="shared" si="33"/>
        <v>0</v>
      </c>
      <c r="D106" s="349">
        <f t="shared" si="33"/>
        <v>0</v>
      </c>
      <c r="E106" s="349">
        <f t="shared" si="33"/>
        <v>0</v>
      </c>
      <c r="F106" s="349">
        <f t="shared" si="33"/>
        <v>0</v>
      </c>
      <c r="G106" s="349">
        <f t="shared" si="33"/>
        <v>0</v>
      </c>
    </row>
    <row r="107" spans="1:7" x14ac:dyDescent="0.3">
      <c r="A107" s="352" t="s">
        <v>275</v>
      </c>
      <c r="B107" s="350">
        <f t="shared" ref="B107:G107" si="34">((B104)+(B105))+(B106)</f>
        <v>0</v>
      </c>
      <c r="C107" s="350">
        <f t="shared" si="34"/>
        <v>0</v>
      </c>
      <c r="D107" s="350">
        <f t="shared" si="34"/>
        <v>0</v>
      </c>
      <c r="E107" s="350">
        <f t="shared" si="34"/>
        <v>0</v>
      </c>
      <c r="F107" s="350">
        <f t="shared" si="34"/>
        <v>0</v>
      </c>
      <c r="G107" s="350">
        <f t="shared" si="34"/>
        <v>0</v>
      </c>
    </row>
    <row r="108" spans="1:7" x14ac:dyDescent="0.3">
      <c r="A108" s="352" t="s">
        <v>274</v>
      </c>
      <c r="B108" s="348"/>
      <c r="C108" s="349">
        <f t="shared" ref="C108:G109" si="35">B108</f>
        <v>0</v>
      </c>
      <c r="D108" s="349">
        <f t="shared" si="35"/>
        <v>0</v>
      </c>
      <c r="E108" s="349">
        <f t="shared" si="35"/>
        <v>0</v>
      </c>
      <c r="F108" s="349">
        <f t="shared" si="35"/>
        <v>0</v>
      </c>
      <c r="G108" s="349">
        <f t="shared" si="35"/>
        <v>0</v>
      </c>
    </row>
    <row r="109" spans="1:7" x14ac:dyDescent="0.3">
      <c r="A109" s="352" t="s">
        <v>273</v>
      </c>
      <c r="B109" s="349">
        <f>0</f>
        <v>0</v>
      </c>
      <c r="C109" s="349">
        <f t="shared" si="35"/>
        <v>0</v>
      </c>
      <c r="D109" s="349">
        <f t="shared" si="35"/>
        <v>0</v>
      </c>
      <c r="E109" s="349">
        <f t="shared" si="35"/>
        <v>0</v>
      </c>
      <c r="F109" s="349">
        <f t="shared" si="35"/>
        <v>0</v>
      </c>
      <c r="G109" s="349">
        <f t="shared" si="35"/>
        <v>0</v>
      </c>
    </row>
    <row r="110" spans="1:7" x14ac:dyDescent="0.3">
      <c r="A110" s="352" t="s">
        <v>272</v>
      </c>
      <c r="B110" s="350">
        <f t="shared" ref="B110:G110" si="36">(B108)+(B109)</f>
        <v>0</v>
      </c>
      <c r="C110" s="350">
        <f t="shared" si="36"/>
        <v>0</v>
      </c>
      <c r="D110" s="350">
        <f t="shared" si="36"/>
        <v>0</v>
      </c>
      <c r="E110" s="350">
        <f t="shared" si="36"/>
        <v>0</v>
      </c>
      <c r="F110" s="350">
        <f t="shared" si="36"/>
        <v>0</v>
      </c>
      <c r="G110" s="350">
        <f t="shared" si="36"/>
        <v>0</v>
      </c>
    </row>
    <row r="111" spans="1:7" x14ac:dyDescent="0.3">
      <c r="A111" s="352" t="s">
        <v>271</v>
      </c>
      <c r="B111" s="350">
        <f t="shared" ref="B111:G111" si="37">((B103)+(B107))+(B110)</f>
        <v>0</v>
      </c>
      <c r="C111" s="350">
        <f t="shared" si="37"/>
        <v>0</v>
      </c>
      <c r="D111" s="350">
        <f t="shared" si="37"/>
        <v>0</v>
      </c>
      <c r="E111" s="350">
        <f t="shared" si="37"/>
        <v>0</v>
      </c>
      <c r="F111" s="350">
        <f t="shared" si="37"/>
        <v>0</v>
      </c>
      <c r="G111" s="350">
        <f t="shared" si="37"/>
        <v>0</v>
      </c>
    </row>
    <row r="112" spans="1:7" x14ac:dyDescent="0.3">
      <c r="A112" s="352" t="s">
        <v>270</v>
      </c>
      <c r="B112" s="349">
        <f>-1254004.49</f>
        <v>-1254004.49</v>
      </c>
      <c r="C112" s="349">
        <f t="shared" ref="C112:G116" si="38">B112</f>
        <v>-1254004.49</v>
      </c>
      <c r="D112" s="349">
        <f t="shared" si="38"/>
        <v>-1254004.49</v>
      </c>
      <c r="E112" s="349">
        <f t="shared" si="38"/>
        <v>-1254004.49</v>
      </c>
      <c r="F112" s="349">
        <f t="shared" si="38"/>
        <v>-1254004.49</v>
      </c>
      <c r="G112" s="349">
        <f t="shared" si="38"/>
        <v>-1254004.49</v>
      </c>
    </row>
    <row r="113" spans="1:7" x14ac:dyDescent="0.3">
      <c r="A113" s="352" t="s">
        <v>269</v>
      </c>
      <c r="B113" s="349">
        <f>56315.07</f>
        <v>56315.07</v>
      </c>
      <c r="C113" s="349">
        <f t="shared" si="38"/>
        <v>56315.07</v>
      </c>
      <c r="D113" s="349">
        <f t="shared" si="38"/>
        <v>56315.07</v>
      </c>
      <c r="E113" s="349">
        <f t="shared" si="38"/>
        <v>56315.07</v>
      </c>
      <c r="F113" s="349">
        <f t="shared" si="38"/>
        <v>56315.07</v>
      </c>
      <c r="G113" s="349">
        <f t="shared" si="38"/>
        <v>56315.07</v>
      </c>
    </row>
    <row r="114" spans="1:7" x14ac:dyDescent="0.3">
      <c r="A114" s="352" t="s">
        <v>268</v>
      </c>
      <c r="B114" s="349">
        <f>73649.32</f>
        <v>73649.320000000007</v>
      </c>
      <c r="C114" s="349">
        <f t="shared" si="38"/>
        <v>73649.320000000007</v>
      </c>
      <c r="D114" s="349">
        <f t="shared" si="38"/>
        <v>73649.320000000007</v>
      </c>
      <c r="E114" s="349">
        <f t="shared" si="38"/>
        <v>73649.320000000007</v>
      </c>
      <c r="F114" s="349">
        <f t="shared" si="38"/>
        <v>73649.320000000007</v>
      </c>
      <c r="G114" s="349">
        <f t="shared" si="38"/>
        <v>73649.320000000007</v>
      </c>
    </row>
    <row r="115" spans="1:7" x14ac:dyDescent="0.3">
      <c r="A115" s="352" t="s">
        <v>267</v>
      </c>
      <c r="B115" s="349">
        <f>165139.95</f>
        <v>165139.95000000001</v>
      </c>
      <c r="C115" s="349">
        <f t="shared" si="38"/>
        <v>165139.95000000001</v>
      </c>
      <c r="D115" s="349">
        <f t="shared" si="38"/>
        <v>165139.95000000001</v>
      </c>
      <c r="E115" s="349">
        <f t="shared" si="38"/>
        <v>165139.95000000001</v>
      </c>
      <c r="F115" s="349">
        <f t="shared" si="38"/>
        <v>165139.95000000001</v>
      </c>
      <c r="G115" s="349">
        <f t="shared" si="38"/>
        <v>165139.95000000001</v>
      </c>
    </row>
    <row r="116" spans="1:7" x14ac:dyDescent="0.3">
      <c r="A116" s="352" t="s">
        <v>266</v>
      </c>
      <c r="B116" s="349">
        <f>1471521.94</f>
        <v>1471521.94</v>
      </c>
      <c r="C116" s="349">
        <f t="shared" si="38"/>
        <v>1471521.94</v>
      </c>
      <c r="D116" s="349">
        <f t="shared" si="38"/>
        <v>1471521.94</v>
      </c>
      <c r="E116" s="349">
        <f t="shared" si="38"/>
        <v>1471521.94</v>
      </c>
      <c r="F116" s="349">
        <f t="shared" si="38"/>
        <v>1471521.94</v>
      </c>
      <c r="G116" s="349">
        <f t="shared" si="38"/>
        <v>1471521.94</v>
      </c>
    </row>
    <row r="117" spans="1:7" x14ac:dyDescent="0.3">
      <c r="A117" s="352" t="s">
        <v>265</v>
      </c>
      <c r="B117" s="349">
        <f>274219.02</f>
        <v>274219.02</v>
      </c>
      <c r="C117" s="349">
        <f>219198.04</f>
        <v>219198.04</v>
      </c>
      <c r="D117" s="349">
        <f>693565.61</f>
        <v>693565.61</v>
      </c>
      <c r="E117" s="349">
        <f>1242812.63</f>
        <v>1242812.6299999999</v>
      </c>
      <c r="F117" s="349">
        <f>1678731.92</f>
        <v>1678731.92</v>
      </c>
      <c r="G117" s="349">
        <f>2376051.65</f>
        <v>2376051.65</v>
      </c>
    </row>
    <row r="118" spans="1:7" x14ac:dyDescent="0.3">
      <c r="A118" s="352" t="s">
        <v>264</v>
      </c>
      <c r="B118" s="350">
        <f t="shared" ref="B118:G118" si="39">((((((((B101)+(B102))+(B111))+(B112))+(B113))+(B114))+(B115))+(B116))+(B117)</f>
        <v>681440.62000000011</v>
      </c>
      <c r="C118" s="350">
        <f t="shared" si="39"/>
        <v>626419.64000000013</v>
      </c>
      <c r="D118" s="350">
        <f t="shared" si="39"/>
        <v>1100787.21</v>
      </c>
      <c r="E118" s="350">
        <f t="shared" si="39"/>
        <v>1650034.23</v>
      </c>
      <c r="F118" s="350">
        <f t="shared" si="39"/>
        <v>2089269.99</v>
      </c>
      <c r="G118" s="350">
        <f t="shared" si="39"/>
        <v>2786701.3899999997</v>
      </c>
    </row>
    <row r="119" spans="1:7" x14ac:dyDescent="0.3">
      <c r="A119" s="352" t="s">
        <v>263</v>
      </c>
      <c r="B119" s="350">
        <f t="shared" ref="B119:G119" si="40">(B99)+(B118)</f>
        <v>1256821.8600000003</v>
      </c>
      <c r="C119" s="350">
        <f t="shared" si="40"/>
        <v>1407779.9500000002</v>
      </c>
      <c r="D119" s="350">
        <f t="shared" si="40"/>
        <v>1884468.19</v>
      </c>
      <c r="E119" s="350">
        <f t="shared" si="40"/>
        <v>1979821.76</v>
      </c>
      <c r="F119" s="350">
        <f t="shared" si="40"/>
        <v>3193928.4299999997</v>
      </c>
      <c r="G119" s="350">
        <f t="shared" si="40"/>
        <v>3725990.8699999996</v>
      </c>
    </row>
    <row r="120" spans="1:7" x14ac:dyDescent="0.3">
      <c r="A120" s="352"/>
      <c r="B120" s="348"/>
      <c r="C120" s="348"/>
      <c r="D120" s="348"/>
      <c r="E120" s="348"/>
      <c r="F120" s="348"/>
      <c r="G120" s="348"/>
    </row>
    <row r="123" spans="1:7" x14ac:dyDescent="0.3">
      <c r="A123" s="373" t="s">
        <v>523</v>
      </c>
      <c r="B123" s="371"/>
      <c r="C123" s="371"/>
      <c r="D123" s="371"/>
      <c r="E123" s="371"/>
      <c r="F123" s="371"/>
      <c r="G123" s="371"/>
    </row>
  </sheetData>
  <mergeCells count="4">
    <mergeCell ref="A123:G123"/>
    <mergeCell ref="A1:G1"/>
    <mergeCell ref="A2:G2"/>
    <mergeCell ref="A3:G3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3" tint="0.79998168889431442"/>
  </sheetPr>
  <dimension ref="A1:M118"/>
  <sheetViews>
    <sheetView workbookViewId="0"/>
  </sheetViews>
  <sheetFormatPr defaultColWidth="9" defaultRowHeight="14.4" x14ac:dyDescent="0.3"/>
  <cols>
    <col min="1" max="1" width="47.33203125" style="2" customWidth="1"/>
    <col min="2" max="13" width="12" style="2" customWidth="1"/>
    <col min="14" max="16384" width="9" style="2"/>
  </cols>
  <sheetData>
    <row r="1" spans="1:13" ht="17.399999999999999" x14ac:dyDescent="0.3">
      <c r="A1" s="9" t="s">
        <v>1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</row>
    <row r="2" spans="1:13" ht="17.399999999999999" x14ac:dyDescent="0.3">
      <c r="A2" s="9" t="s">
        <v>361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</row>
    <row r="3" spans="1:13" x14ac:dyDescent="0.3">
      <c r="A3" s="11" t="s">
        <v>368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</row>
    <row r="5" spans="1:13" x14ac:dyDescent="0.3">
      <c r="A5" s="3"/>
      <c r="B5" s="4" t="s">
        <v>193</v>
      </c>
      <c r="C5" s="4" t="s">
        <v>194</v>
      </c>
      <c r="D5" s="4" t="s">
        <v>195</v>
      </c>
      <c r="E5" s="4" t="s">
        <v>196</v>
      </c>
      <c r="F5" s="4" t="s">
        <v>197</v>
      </c>
      <c r="G5" s="4" t="s">
        <v>198</v>
      </c>
      <c r="H5" s="4" t="s">
        <v>199</v>
      </c>
      <c r="I5" s="4" t="s">
        <v>200</v>
      </c>
      <c r="J5" s="4" t="s">
        <v>201</v>
      </c>
      <c r="K5" s="4" t="s">
        <v>202</v>
      </c>
      <c r="L5" s="4" t="s">
        <v>203</v>
      </c>
      <c r="M5" s="4" t="s">
        <v>204</v>
      </c>
    </row>
    <row r="6" spans="1:13" x14ac:dyDescent="0.3">
      <c r="A6" s="5" t="s">
        <v>359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</row>
    <row r="7" spans="1:13" x14ac:dyDescent="0.3">
      <c r="A7" s="5" t="s">
        <v>358</v>
      </c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</row>
    <row r="8" spans="1:13" x14ac:dyDescent="0.3">
      <c r="A8" s="5" t="s">
        <v>357</v>
      </c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</row>
    <row r="9" spans="1:13" x14ac:dyDescent="0.3">
      <c r="A9" s="5" t="s">
        <v>356</v>
      </c>
      <c r="B9" s="7">
        <f>31409.4</f>
        <v>31409.4</v>
      </c>
      <c r="C9" s="7">
        <f>31409.4</f>
        <v>31409.4</v>
      </c>
      <c r="D9" s="7">
        <f>31409.4</f>
        <v>31409.4</v>
      </c>
      <c r="E9" s="7">
        <f>33409.4</f>
        <v>33409.4</v>
      </c>
      <c r="F9" s="7">
        <f>33409.4</f>
        <v>33409.4</v>
      </c>
      <c r="G9" s="7">
        <f>33409.4</f>
        <v>33409.4</v>
      </c>
      <c r="H9" s="7">
        <f>53627.23</f>
        <v>53627.23</v>
      </c>
      <c r="I9" s="7">
        <f>54627.23</f>
        <v>54627.23</v>
      </c>
      <c r="J9" s="7">
        <f>54627.23</f>
        <v>54627.23</v>
      </c>
      <c r="K9" s="7">
        <f>54627.23</f>
        <v>54627.23</v>
      </c>
      <c r="L9" s="7">
        <f>54627.23</f>
        <v>54627.23</v>
      </c>
      <c r="M9" s="7">
        <f>54627.23</f>
        <v>54627.23</v>
      </c>
    </row>
    <row r="10" spans="1:13" x14ac:dyDescent="0.3">
      <c r="A10" s="5" t="s">
        <v>355</v>
      </c>
      <c r="B10" s="7">
        <f>0</f>
        <v>0</v>
      </c>
      <c r="C10" s="7">
        <f t="shared" ref="C10:M10" si="0">B10</f>
        <v>0</v>
      </c>
      <c r="D10" s="7">
        <f t="shared" si="0"/>
        <v>0</v>
      </c>
      <c r="E10" s="7">
        <f t="shared" si="0"/>
        <v>0</v>
      </c>
      <c r="F10" s="7">
        <f t="shared" si="0"/>
        <v>0</v>
      </c>
      <c r="G10" s="7">
        <f t="shared" si="0"/>
        <v>0</v>
      </c>
      <c r="H10" s="7">
        <f t="shared" si="0"/>
        <v>0</v>
      </c>
      <c r="I10" s="7">
        <f t="shared" si="0"/>
        <v>0</v>
      </c>
      <c r="J10" s="7">
        <f t="shared" si="0"/>
        <v>0</v>
      </c>
      <c r="K10" s="7">
        <f t="shared" si="0"/>
        <v>0</v>
      </c>
      <c r="L10" s="7">
        <f t="shared" si="0"/>
        <v>0</v>
      </c>
      <c r="M10" s="7">
        <f t="shared" si="0"/>
        <v>0</v>
      </c>
    </row>
    <row r="11" spans="1:13" x14ac:dyDescent="0.3">
      <c r="A11" s="5" t="s">
        <v>354</v>
      </c>
      <c r="B11" s="7">
        <f>540880.98</f>
        <v>540880.98</v>
      </c>
      <c r="C11" s="7">
        <f>561613.07</f>
        <v>561613.06999999995</v>
      </c>
      <c r="D11" s="7">
        <f>344915.31</f>
        <v>344915.31</v>
      </c>
      <c r="E11" s="7">
        <f>303631.06</f>
        <v>303631.06</v>
      </c>
      <c r="F11" s="7">
        <f>367552.28</f>
        <v>367552.28</v>
      </c>
      <c r="G11" s="7">
        <f>203944.79</f>
        <v>203944.79</v>
      </c>
      <c r="H11" s="7">
        <f>230847.75</f>
        <v>230847.75</v>
      </c>
      <c r="I11" s="7">
        <f>263723.48</f>
        <v>263723.48</v>
      </c>
      <c r="J11" s="7">
        <f>193447.19</f>
        <v>193447.19</v>
      </c>
      <c r="K11" s="7">
        <f>263147.64</f>
        <v>263147.64</v>
      </c>
      <c r="L11" s="7">
        <f>126930.53</f>
        <v>126930.53</v>
      </c>
      <c r="M11" s="7">
        <f>173384.29</f>
        <v>173384.29</v>
      </c>
    </row>
    <row r="12" spans="1:13" x14ac:dyDescent="0.3">
      <c r="A12" s="5" t="s">
        <v>353</v>
      </c>
      <c r="B12" s="7">
        <f>14654.41</f>
        <v>14654.41</v>
      </c>
      <c r="C12" s="7">
        <f>B12</f>
        <v>14654.41</v>
      </c>
      <c r="D12" s="7">
        <f>C12</f>
        <v>14654.41</v>
      </c>
      <c r="E12" s="7">
        <f>D12</f>
        <v>14654.41</v>
      </c>
      <c r="F12" s="7">
        <f>13056.41</f>
        <v>13056.41</v>
      </c>
      <c r="G12" s="7">
        <f>F12</f>
        <v>13056.41</v>
      </c>
      <c r="H12" s="7">
        <f>G12</f>
        <v>13056.41</v>
      </c>
      <c r="I12" s="7">
        <f>H12</f>
        <v>13056.41</v>
      </c>
      <c r="J12" s="7">
        <f>I12</f>
        <v>13056.41</v>
      </c>
      <c r="K12" s="7">
        <f>12956.41</f>
        <v>12956.41</v>
      </c>
      <c r="L12" s="7">
        <f>5000</f>
        <v>5000</v>
      </c>
      <c r="M12" s="7">
        <f>5000</f>
        <v>5000</v>
      </c>
    </row>
    <row r="13" spans="1:13" x14ac:dyDescent="0.3">
      <c r="A13" s="5" t="s">
        <v>352</v>
      </c>
      <c r="B13" s="7">
        <f>110133.33</f>
        <v>110133.33</v>
      </c>
      <c r="C13" s="7">
        <f>110135.86</f>
        <v>110135.86</v>
      </c>
      <c r="D13" s="7">
        <f>110138.67</f>
        <v>110138.67</v>
      </c>
      <c r="E13" s="7">
        <f>110141.39</f>
        <v>110141.39</v>
      </c>
      <c r="F13" s="7">
        <f>110144.19</f>
        <v>110144.19</v>
      </c>
      <c r="G13" s="7">
        <f>110146.91</f>
        <v>110146.91</v>
      </c>
      <c r="H13" s="7">
        <f>110149.72</f>
        <v>110149.72</v>
      </c>
      <c r="I13" s="7">
        <f>110152.52</f>
        <v>110152.52</v>
      </c>
      <c r="J13" s="7">
        <f>110155.24</f>
        <v>110155.24</v>
      </c>
      <c r="K13" s="7">
        <f>100157.4</f>
        <v>100157.4</v>
      </c>
      <c r="L13" s="7">
        <f>108116.41</f>
        <v>108116.41</v>
      </c>
      <c r="M13" s="7">
        <f>100118.79</f>
        <v>100118.79</v>
      </c>
    </row>
    <row r="14" spans="1:13" x14ac:dyDescent="0.3">
      <c r="A14" s="5" t="s">
        <v>351</v>
      </c>
      <c r="B14" s="7">
        <f>0</f>
        <v>0</v>
      </c>
      <c r="C14" s="7">
        <f t="shared" ref="C14:M16" si="1">B14</f>
        <v>0</v>
      </c>
      <c r="D14" s="7">
        <f t="shared" si="1"/>
        <v>0</v>
      </c>
      <c r="E14" s="7">
        <f t="shared" si="1"/>
        <v>0</v>
      </c>
      <c r="F14" s="7">
        <f t="shared" si="1"/>
        <v>0</v>
      </c>
      <c r="G14" s="7">
        <f t="shared" si="1"/>
        <v>0</v>
      </c>
      <c r="H14" s="7">
        <f t="shared" si="1"/>
        <v>0</v>
      </c>
      <c r="I14" s="7">
        <f t="shared" si="1"/>
        <v>0</v>
      </c>
      <c r="J14" s="7">
        <f t="shared" si="1"/>
        <v>0</v>
      </c>
      <c r="K14" s="7">
        <f t="shared" si="1"/>
        <v>0</v>
      </c>
      <c r="L14" s="7">
        <f t="shared" si="1"/>
        <v>0</v>
      </c>
      <c r="M14" s="7">
        <f t="shared" si="1"/>
        <v>0</v>
      </c>
    </row>
    <row r="15" spans="1:13" x14ac:dyDescent="0.3">
      <c r="A15" s="5" t="s">
        <v>350</v>
      </c>
      <c r="B15" s="7">
        <f>0</f>
        <v>0</v>
      </c>
      <c r="C15" s="7">
        <f t="shared" si="1"/>
        <v>0</v>
      </c>
      <c r="D15" s="7">
        <f t="shared" si="1"/>
        <v>0</v>
      </c>
      <c r="E15" s="7">
        <f t="shared" si="1"/>
        <v>0</v>
      </c>
      <c r="F15" s="7">
        <f t="shared" si="1"/>
        <v>0</v>
      </c>
      <c r="G15" s="7">
        <f t="shared" si="1"/>
        <v>0</v>
      </c>
      <c r="H15" s="7">
        <f t="shared" si="1"/>
        <v>0</v>
      </c>
      <c r="I15" s="7">
        <f t="shared" si="1"/>
        <v>0</v>
      </c>
      <c r="J15" s="7">
        <f t="shared" si="1"/>
        <v>0</v>
      </c>
      <c r="K15" s="7">
        <f t="shared" si="1"/>
        <v>0</v>
      </c>
      <c r="L15" s="7">
        <f t="shared" si="1"/>
        <v>0</v>
      </c>
      <c r="M15" s="7">
        <f t="shared" si="1"/>
        <v>0</v>
      </c>
    </row>
    <row r="16" spans="1:13" x14ac:dyDescent="0.3">
      <c r="A16" s="5" t="s">
        <v>349</v>
      </c>
      <c r="B16" s="7">
        <f>0</f>
        <v>0</v>
      </c>
      <c r="C16" s="7">
        <f t="shared" si="1"/>
        <v>0</v>
      </c>
      <c r="D16" s="7">
        <f t="shared" si="1"/>
        <v>0</v>
      </c>
      <c r="E16" s="7">
        <f t="shared" si="1"/>
        <v>0</v>
      </c>
      <c r="F16" s="7">
        <f t="shared" si="1"/>
        <v>0</v>
      </c>
      <c r="G16" s="7">
        <f t="shared" si="1"/>
        <v>0</v>
      </c>
      <c r="H16" s="7">
        <f t="shared" si="1"/>
        <v>0</v>
      </c>
      <c r="I16" s="7">
        <f t="shared" si="1"/>
        <v>0</v>
      </c>
      <c r="J16" s="7">
        <f t="shared" si="1"/>
        <v>0</v>
      </c>
      <c r="K16" s="7">
        <f t="shared" si="1"/>
        <v>0</v>
      </c>
      <c r="L16" s="7">
        <f t="shared" si="1"/>
        <v>0</v>
      </c>
      <c r="M16" s="7">
        <f t="shared" si="1"/>
        <v>0</v>
      </c>
    </row>
    <row r="17" spans="1:13" x14ac:dyDescent="0.3">
      <c r="A17" s="5" t="s">
        <v>348</v>
      </c>
      <c r="B17" s="8">
        <f t="shared" ref="B17:M17" si="2">(((((((B9)+(B10))+(B11))+(B12))+(B13))+(B14))+(B15))+(B16)</f>
        <v>697078.12</v>
      </c>
      <c r="C17" s="8">
        <f t="shared" si="2"/>
        <v>717812.74</v>
      </c>
      <c r="D17" s="8">
        <f t="shared" si="2"/>
        <v>501117.79</v>
      </c>
      <c r="E17" s="8">
        <f t="shared" si="2"/>
        <v>461836.26</v>
      </c>
      <c r="F17" s="8">
        <f t="shared" si="2"/>
        <v>524162.28</v>
      </c>
      <c r="G17" s="8">
        <f t="shared" si="2"/>
        <v>360557.51</v>
      </c>
      <c r="H17" s="8">
        <f t="shared" si="2"/>
        <v>407681.11</v>
      </c>
      <c r="I17" s="8">
        <f t="shared" si="2"/>
        <v>441559.63999999996</v>
      </c>
      <c r="J17" s="8">
        <f t="shared" si="2"/>
        <v>371286.07</v>
      </c>
      <c r="K17" s="8">
        <f t="shared" si="2"/>
        <v>430888.67999999993</v>
      </c>
      <c r="L17" s="8">
        <f t="shared" si="2"/>
        <v>294674.17000000004</v>
      </c>
      <c r="M17" s="8">
        <f t="shared" si="2"/>
        <v>333130.31</v>
      </c>
    </row>
    <row r="18" spans="1:13" x14ac:dyDescent="0.3">
      <c r="A18" s="5" t="s">
        <v>347</v>
      </c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</row>
    <row r="19" spans="1:13" x14ac:dyDescent="0.3">
      <c r="A19" s="5" t="s">
        <v>346</v>
      </c>
      <c r="B19" s="7">
        <f>0</f>
        <v>0</v>
      </c>
      <c r="C19" s="7">
        <f t="shared" ref="C19:M19" si="3">B19</f>
        <v>0</v>
      </c>
      <c r="D19" s="7">
        <f t="shared" si="3"/>
        <v>0</v>
      </c>
      <c r="E19" s="7">
        <f t="shared" si="3"/>
        <v>0</v>
      </c>
      <c r="F19" s="7">
        <f t="shared" si="3"/>
        <v>0</v>
      </c>
      <c r="G19" s="7">
        <f t="shared" si="3"/>
        <v>0</v>
      </c>
      <c r="H19" s="7">
        <f t="shared" si="3"/>
        <v>0</v>
      </c>
      <c r="I19" s="7">
        <f t="shared" si="3"/>
        <v>0</v>
      </c>
      <c r="J19" s="7">
        <f t="shared" si="3"/>
        <v>0</v>
      </c>
      <c r="K19" s="7">
        <f t="shared" si="3"/>
        <v>0</v>
      </c>
      <c r="L19" s="7">
        <f t="shared" si="3"/>
        <v>0</v>
      </c>
      <c r="M19" s="7">
        <f t="shared" si="3"/>
        <v>0</v>
      </c>
    </row>
    <row r="20" spans="1:13" x14ac:dyDescent="0.3">
      <c r="A20" s="5" t="s">
        <v>345</v>
      </c>
      <c r="B20" s="8">
        <f t="shared" ref="B20:M20" si="4">B19</f>
        <v>0</v>
      </c>
      <c r="C20" s="8">
        <f t="shared" si="4"/>
        <v>0</v>
      </c>
      <c r="D20" s="8">
        <f t="shared" si="4"/>
        <v>0</v>
      </c>
      <c r="E20" s="8">
        <f t="shared" si="4"/>
        <v>0</v>
      </c>
      <c r="F20" s="8">
        <f t="shared" si="4"/>
        <v>0</v>
      </c>
      <c r="G20" s="8">
        <f t="shared" si="4"/>
        <v>0</v>
      </c>
      <c r="H20" s="8">
        <f t="shared" si="4"/>
        <v>0</v>
      </c>
      <c r="I20" s="8">
        <f t="shared" si="4"/>
        <v>0</v>
      </c>
      <c r="J20" s="8">
        <f t="shared" si="4"/>
        <v>0</v>
      </c>
      <c r="K20" s="8">
        <f t="shared" si="4"/>
        <v>0</v>
      </c>
      <c r="L20" s="8">
        <f t="shared" si="4"/>
        <v>0</v>
      </c>
      <c r="M20" s="8">
        <f t="shared" si="4"/>
        <v>0</v>
      </c>
    </row>
    <row r="21" spans="1:13" x14ac:dyDescent="0.3">
      <c r="A21" s="5" t="s">
        <v>344</v>
      </c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</row>
    <row r="22" spans="1:13" x14ac:dyDescent="0.3">
      <c r="A22" s="5" t="s">
        <v>343</v>
      </c>
      <c r="B22" s="7">
        <f>14000</f>
        <v>14000</v>
      </c>
      <c r="C22" s="7">
        <f t="shared" ref="C22:M22" si="5">B22</f>
        <v>14000</v>
      </c>
      <c r="D22" s="7">
        <f t="shared" si="5"/>
        <v>14000</v>
      </c>
      <c r="E22" s="7">
        <f t="shared" si="5"/>
        <v>14000</v>
      </c>
      <c r="F22" s="7">
        <f t="shared" si="5"/>
        <v>14000</v>
      </c>
      <c r="G22" s="7">
        <f t="shared" si="5"/>
        <v>14000</v>
      </c>
      <c r="H22" s="7">
        <f t="shared" si="5"/>
        <v>14000</v>
      </c>
      <c r="I22" s="7">
        <f t="shared" si="5"/>
        <v>14000</v>
      </c>
      <c r="J22" s="7">
        <f t="shared" si="5"/>
        <v>14000</v>
      </c>
      <c r="K22" s="7">
        <f t="shared" si="5"/>
        <v>14000</v>
      </c>
      <c r="L22" s="7">
        <f t="shared" si="5"/>
        <v>14000</v>
      </c>
      <c r="M22" s="7">
        <f t="shared" si="5"/>
        <v>14000</v>
      </c>
    </row>
    <row r="23" spans="1:13" x14ac:dyDescent="0.3">
      <c r="A23" s="5" t="s">
        <v>342</v>
      </c>
      <c r="B23" s="7">
        <f>1192733.06</f>
        <v>1192733.06</v>
      </c>
      <c r="C23" s="7">
        <f>1211357.4</f>
        <v>1211357.3999999999</v>
      </c>
      <c r="D23" s="7">
        <f>1469438.39</f>
        <v>1469438.39</v>
      </c>
      <c r="E23" s="7">
        <f>1442253.71</f>
        <v>1442253.71</v>
      </c>
      <c r="F23" s="7">
        <f>1377819.54</f>
        <v>1377819.54</v>
      </c>
      <c r="G23" s="7">
        <f>1428879.46</f>
        <v>1428879.46</v>
      </c>
      <c r="H23" s="7">
        <f>1448015.81</f>
        <v>1448015.81</v>
      </c>
      <c r="I23" s="7">
        <f>1397268.33</f>
        <v>1397268.33</v>
      </c>
      <c r="J23" s="7">
        <f>1391217.74</f>
        <v>1391217.74</v>
      </c>
      <c r="K23" s="7">
        <f>1326455.05</f>
        <v>1326455.05</v>
      </c>
      <c r="L23" s="7">
        <f>1342140.19</f>
        <v>1342140.19</v>
      </c>
      <c r="M23" s="7">
        <f>1410979.32</f>
        <v>1410979.32</v>
      </c>
    </row>
    <row r="24" spans="1:13" x14ac:dyDescent="0.3">
      <c r="A24" s="5" t="s">
        <v>341</v>
      </c>
      <c r="B24" s="7">
        <f>3947.56</f>
        <v>3947.56</v>
      </c>
      <c r="C24" s="7">
        <f>3728.25</f>
        <v>3728.25</v>
      </c>
      <c r="D24" s="7">
        <f>3508.94</f>
        <v>3508.94</v>
      </c>
      <c r="E24" s="7">
        <f>3289.63</f>
        <v>3289.63</v>
      </c>
      <c r="F24" s="7">
        <f>3070.32</f>
        <v>3070.32</v>
      </c>
      <c r="G24" s="7">
        <f>2851.01</f>
        <v>2851.01</v>
      </c>
      <c r="H24" s="7">
        <f>2631.7</f>
        <v>2631.7</v>
      </c>
      <c r="I24" s="7">
        <f>2412.39</f>
        <v>2412.39</v>
      </c>
      <c r="J24" s="7">
        <f>2193.08</f>
        <v>2193.08</v>
      </c>
      <c r="K24" s="7">
        <f>1973.77</f>
        <v>1973.77</v>
      </c>
      <c r="L24" s="7">
        <f>1754.46</f>
        <v>1754.46</v>
      </c>
      <c r="M24" s="7">
        <f>1535.15</f>
        <v>1535.15</v>
      </c>
    </row>
    <row r="25" spans="1:13" x14ac:dyDescent="0.3">
      <c r="A25" s="5" t="s">
        <v>340</v>
      </c>
      <c r="B25" s="7">
        <f>0</f>
        <v>0</v>
      </c>
      <c r="C25" s="7">
        <f>B25</f>
        <v>0</v>
      </c>
      <c r="D25" s="7">
        <f>C25</f>
        <v>0</v>
      </c>
      <c r="E25" s="7">
        <f>D25</f>
        <v>0</v>
      </c>
      <c r="F25" s="7">
        <f>E25</f>
        <v>0</v>
      </c>
      <c r="G25" s="7">
        <f>0</f>
        <v>0</v>
      </c>
      <c r="H25" s="7">
        <f t="shared" ref="H25:M25" si="6">G25</f>
        <v>0</v>
      </c>
      <c r="I25" s="7">
        <f t="shared" si="6"/>
        <v>0</v>
      </c>
      <c r="J25" s="7">
        <f t="shared" si="6"/>
        <v>0</v>
      </c>
      <c r="K25" s="7">
        <f t="shared" si="6"/>
        <v>0</v>
      </c>
      <c r="L25" s="7">
        <f t="shared" si="6"/>
        <v>0</v>
      </c>
      <c r="M25" s="7">
        <f t="shared" si="6"/>
        <v>0</v>
      </c>
    </row>
    <row r="26" spans="1:13" x14ac:dyDescent="0.3">
      <c r="A26" s="5" t="s">
        <v>339</v>
      </c>
      <c r="B26" s="8">
        <f t="shared" ref="B26:M26" si="7">(((B22)+(B23))+(B24))+(B25)</f>
        <v>1210680.6200000001</v>
      </c>
      <c r="C26" s="8">
        <f t="shared" si="7"/>
        <v>1229085.6499999999</v>
      </c>
      <c r="D26" s="8">
        <f t="shared" si="7"/>
        <v>1486947.3299999998</v>
      </c>
      <c r="E26" s="8">
        <f t="shared" si="7"/>
        <v>1459543.3399999999</v>
      </c>
      <c r="F26" s="8">
        <f t="shared" si="7"/>
        <v>1394889.86</v>
      </c>
      <c r="G26" s="8">
        <f t="shared" si="7"/>
        <v>1445730.47</v>
      </c>
      <c r="H26" s="8">
        <f t="shared" si="7"/>
        <v>1464647.51</v>
      </c>
      <c r="I26" s="8">
        <f t="shared" si="7"/>
        <v>1413680.72</v>
      </c>
      <c r="J26" s="8">
        <f t="shared" si="7"/>
        <v>1407410.82</v>
      </c>
      <c r="K26" s="8">
        <f t="shared" si="7"/>
        <v>1342428.82</v>
      </c>
      <c r="L26" s="8">
        <f t="shared" si="7"/>
        <v>1357894.65</v>
      </c>
      <c r="M26" s="8">
        <f t="shared" si="7"/>
        <v>1426514.47</v>
      </c>
    </row>
    <row r="27" spans="1:13" x14ac:dyDescent="0.3">
      <c r="A27" s="5" t="s">
        <v>338</v>
      </c>
      <c r="B27" s="8">
        <f t="shared" ref="B27:M27" si="8">((B17)+(B20))+(B26)</f>
        <v>1907758.7400000002</v>
      </c>
      <c r="C27" s="8">
        <f t="shared" si="8"/>
        <v>1946898.39</v>
      </c>
      <c r="D27" s="8">
        <f t="shared" si="8"/>
        <v>1988065.1199999999</v>
      </c>
      <c r="E27" s="8">
        <f t="shared" si="8"/>
        <v>1921379.5999999999</v>
      </c>
      <c r="F27" s="8">
        <f t="shared" si="8"/>
        <v>1919052.1400000001</v>
      </c>
      <c r="G27" s="8">
        <f t="shared" si="8"/>
        <v>1806287.98</v>
      </c>
      <c r="H27" s="8">
        <f t="shared" si="8"/>
        <v>1872328.62</v>
      </c>
      <c r="I27" s="8">
        <f t="shared" si="8"/>
        <v>1855240.3599999999</v>
      </c>
      <c r="J27" s="8">
        <f t="shared" si="8"/>
        <v>1778696.8900000001</v>
      </c>
      <c r="K27" s="8">
        <f t="shared" si="8"/>
        <v>1773317.5</v>
      </c>
      <c r="L27" s="8">
        <f t="shared" si="8"/>
        <v>1652568.8199999998</v>
      </c>
      <c r="M27" s="8">
        <f t="shared" si="8"/>
        <v>1759644.78</v>
      </c>
    </row>
    <row r="28" spans="1:13" x14ac:dyDescent="0.3">
      <c r="A28" s="5" t="s">
        <v>369</v>
      </c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</row>
    <row r="29" spans="1:13" x14ac:dyDescent="0.3">
      <c r="A29" s="5" t="s">
        <v>370</v>
      </c>
      <c r="B29" s="6"/>
      <c r="C29" s="7">
        <f t="shared" ref="C29:M30" si="9">B29</f>
        <v>0</v>
      </c>
      <c r="D29" s="7">
        <f t="shared" si="9"/>
        <v>0</v>
      </c>
      <c r="E29" s="7">
        <f t="shared" si="9"/>
        <v>0</v>
      </c>
      <c r="F29" s="7">
        <f t="shared" si="9"/>
        <v>0</v>
      </c>
      <c r="G29" s="7">
        <f t="shared" si="9"/>
        <v>0</v>
      </c>
      <c r="H29" s="7">
        <f t="shared" si="9"/>
        <v>0</v>
      </c>
      <c r="I29" s="7">
        <f t="shared" si="9"/>
        <v>0</v>
      </c>
      <c r="J29" s="7">
        <f t="shared" si="9"/>
        <v>0</v>
      </c>
      <c r="K29" s="7">
        <f t="shared" si="9"/>
        <v>0</v>
      </c>
      <c r="L29" s="7">
        <f t="shared" si="9"/>
        <v>0</v>
      </c>
      <c r="M29" s="7">
        <f t="shared" si="9"/>
        <v>0</v>
      </c>
    </row>
    <row r="30" spans="1:13" x14ac:dyDescent="0.3">
      <c r="A30" s="5" t="s">
        <v>371</v>
      </c>
      <c r="B30" s="6"/>
      <c r="C30" s="7">
        <f t="shared" si="9"/>
        <v>0</v>
      </c>
      <c r="D30" s="7">
        <f t="shared" si="9"/>
        <v>0</v>
      </c>
      <c r="E30" s="7">
        <f t="shared" si="9"/>
        <v>0</v>
      </c>
      <c r="F30" s="7">
        <f t="shared" si="9"/>
        <v>0</v>
      </c>
      <c r="G30" s="7">
        <f t="shared" si="9"/>
        <v>0</v>
      </c>
      <c r="H30" s="7">
        <f t="shared" si="9"/>
        <v>0</v>
      </c>
      <c r="I30" s="7">
        <f>1349.8</f>
        <v>1349.8</v>
      </c>
      <c r="J30" s="7">
        <f>I30</f>
        <v>1349.8</v>
      </c>
      <c r="K30" s="7">
        <f>J30</f>
        <v>1349.8</v>
      </c>
      <c r="L30" s="7">
        <f>K30</f>
        <v>1349.8</v>
      </c>
      <c r="M30" s="7">
        <f>L30</f>
        <v>1349.8</v>
      </c>
    </row>
    <row r="31" spans="1:13" x14ac:dyDescent="0.3">
      <c r="A31" s="5" t="s">
        <v>372</v>
      </c>
      <c r="B31" s="8">
        <f t="shared" ref="B31:M31" si="10">(B29)+(B30)</f>
        <v>0</v>
      </c>
      <c r="C31" s="8">
        <f t="shared" si="10"/>
        <v>0</v>
      </c>
      <c r="D31" s="8">
        <f t="shared" si="10"/>
        <v>0</v>
      </c>
      <c r="E31" s="8">
        <f t="shared" si="10"/>
        <v>0</v>
      </c>
      <c r="F31" s="8">
        <f t="shared" si="10"/>
        <v>0</v>
      </c>
      <c r="G31" s="8">
        <f t="shared" si="10"/>
        <v>0</v>
      </c>
      <c r="H31" s="8">
        <f t="shared" si="10"/>
        <v>0</v>
      </c>
      <c r="I31" s="8">
        <f t="shared" si="10"/>
        <v>1349.8</v>
      </c>
      <c r="J31" s="8">
        <f t="shared" si="10"/>
        <v>1349.8</v>
      </c>
      <c r="K31" s="8">
        <f t="shared" si="10"/>
        <v>1349.8</v>
      </c>
      <c r="L31" s="8">
        <f t="shared" si="10"/>
        <v>1349.8</v>
      </c>
      <c r="M31" s="8">
        <f t="shared" si="10"/>
        <v>1349.8</v>
      </c>
    </row>
    <row r="32" spans="1:13" x14ac:dyDescent="0.3">
      <c r="A32" s="5" t="s">
        <v>373</v>
      </c>
      <c r="B32" s="6"/>
      <c r="C32" s="7">
        <f>B32</f>
        <v>0</v>
      </c>
      <c r="D32" s="7">
        <f>C32</f>
        <v>0</v>
      </c>
      <c r="E32" s="7">
        <f>11648.96</f>
        <v>11648.96</v>
      </c>
      <c r="F32" s="7">
        <f>E32</f>
        <v>11648.96</v>
      </c>
      <c r="G32" s="7">
        <f>F32</f>
        <v>11648.96</v>
      </c>
      <c r="H32" s="7">
        <f>G32</f>
        <v>11648.96</v>
      </c>
      <c r="I32" s="7">
        <f>18890.23</f>
        <v>18890.23</v>
      </c>
      <c r="J32" s="7">
        <f>I32</f>
        <v>18890.23</v>
      </c>
      <c r="K32" s="7">
        <f>J32</f>
        <v>18890.23</v>
      </c>
      <c r="L32" s="7">
        <f>K32</f>
        <v>18890.23</v>
      </c>
      <c r="M32" s="7">
        <f>L32</f>
        <v>18890.23</v>
      </c>
    </row>
    <row r="33" spans="1:13" x14ac:dyDescent="0.3">
      <c r="A33" s="5" t="s">
        <v>374</v>
      </c>
      <c r="B33" s="8">
        <f t="shared" ref="B33:M33" si="11">(B31)+(B32)</f>
        <v>0</v>
      </c>
      <c r="C33" s="8">
        <f t="shared" si="11"/>
        <v>0</v>
      </c>
      <c r="D33" s="8">
        <f t="shared" si="11"/>
        <v>0</v>
      </c>
      <c r="E33" s="8">
        <f t="shared" si="11"/>
        <v>11648.96</v>
      </c>
      <c r="F33" s="8">
        <f t="shared" si="11"/>
        <v>11648.96</v>
      </c>
      <c r="G33" s="8">
        <f t="shared" si="11"/>
        <v>11648.96</v>
      </c>
      <c r="H33" s="8">
        <f t="shared" si="11"/>
        <v>11648.96</v>
      </c>
      <c r="I33" s="8">
        <f t="shared" si="11"/>
        <v>20240.03</v>
      </c>
      <c r="J33" s="8">
        <f t="shared" si="11"/>
        <v>20240.03</v>
      </c>
      <c r="K33" s="8">
        <f t="shared" si="11"/>
        <v>20240.03</v>
      </c>
      <c r="L33" s="8">
        <f t="shared" si="11"/>
        <v>20240.03</v>
      </c>
      <c r="M33" s="8">
        <f t="shared" si="11"/>
        <v>20240.03</v>
      </c>
    </row>
    <row r="34" spans="1:13" x14ac:dyDescent="0.3">
      <c r="A34" s="5" t="s">
        <v>337</v>
      </c>
      <c r="B34" s="8">
        <f t="shared" ref="B34:M34" si="12">(B27)+(B33)</f>
        <v>1907758.7400000002</v>
      </c>
      <c r="C34" s="8">
        <f t="shared" si="12"/>
        <v>1946898.39</v>
      </c>
      <c r="D34" s="8">
        <f t="shared" si="12"/>
        <v>1988065.1199999999</v>
      </c>
      <c r="E34" s="8">
        <f t="shared" si="12"/>
        <v>1933028.5599999998</v>
      </c>
      <c r="F34" s="8">
        <f t="shared" si="12"/>
        <v>1930701.1</v>
      </c>
      <c r="G34" s="8">
        <f t="shared" si="12"/>
        <v>1817936.94</v>
      </c>
      <c r="H34" s="8">
        <f t="shared" si="12"/>
        <v>1883977.58</v>
      </c>
      <c r="I34" s="8">
        <f t="shared" si="12"/>
        <v>1875480.39</v>
      </c>
      <c r="J34" s="8">
        <f t="shared" si="12"/>
        <v>1798936.9200000002</v>
      </c>
      <c r="K34" s="8">
        <f t="shared" si="12"/>
        <v>1793557.53</v>
      </c>
      <c r="L34" s="8">
        <f t="shared" si="12"/>
        <v>1672808.8499999999</v>
      </c>
      <c r="M34" s="8">
        <f t="shared" si="12"/>
        <v>1779884.81</v>
      </c>
    </row>
    <row r="35" spans="1:13" x14ac:dyDescent="0.3">
      <c r="A35" s="5" t="s">
        <v>336</v>
      </c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</row>
    <row r="36" spans="1:13" x14ac:dyDescent="0.3">
      <c r="A36" s="5" t="s">
        <v>335</v>
      </c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</row>
    <row r="37" spans="1:13" x14ac:dyDescent="0.3">
      <c r="A37" s="5" t="s">
        <v>334</v>
      </c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</row>
    <row r="38" spans="1:13" x14ac:dyDescent="0.3">
      <c r="A38" s="5" t="s">
        <v>333</v>
      </c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</row>
    <row r="39" spans="1:13" x14ac:dyDescent="0.3">
      <c r="A39" s="5" t="s">
        <v>332</v>
      </c>
      <c r="B39" s="7">
        <f>591571.45</f>
        <v>591571.44999999995</v>
      </c>
      <c r="C39" s="7">
        <f>751453.57</f>
        <v>751453.57</v>
      </c>
      <c r="D39" s="7">
        <f>751409.6</f>
        <v>751409.6</v>
      </c>
      <c r="E39" s="7">
        <f>776314.44</f>
        <v>776314.44</v>
      </c>
      <c r="F39" s="7">
        <f>582526.91</f>
        <v>582526.91</v>
      </c>
      <c r="G39" s="7">
        <f>603799.09</f>
        <v>603799.09</v>
      </c>
      <c r="H39" s="7">
        <f>601275.15</f>
        <v>601275.15</v>
      </c>
      <c r="I39" s="7">
        <f>539302.15</f>
        <v>539302.15</v>
      </c>
      <c r="J39" s="7">
        <f>525526.43</f>
        <v>525526.43000000005</v>
      </c>
      <c r="K39" s="7">
        <f>565670.41</f>
        <v>565670.41</v>
      </c>
      <c r="L39" s="7">
        <f>610544.98</f>
        <v>610544.98</v>
      </c>
      <c r="M39" s="7">
        <f>705917.81</f>
        <v>705917.81</v>
      </c>
    </row>
    <row r="40" spans="1:13" x14ac:dyDescent="0.3">
      <c r="A40" s="5" t="s">
        <v>331</v>
      </c>
      <c r="B40" s="7">
        <f>0</f>
        <v>0</v>
      </c>
      <c r="C40" s="7">
        <f t="shared" ref="C40:M40" si="13">B40</f>
        <v>0</v>
      </c>
      <c r="D40" s="7">
        <f t="shared" si="13"/>
        <v>0</v>
      </c>
      <c r="E40" s="7">
        <f t="shared" si="13"/>
        <v>0</v>
      </c>
      <c r="F40" s="7">
        <f t="shared" si="13"/>
        <v>0</v>
      </c>
      <c r="G40" s="7">
        <f t="shared" si="13"/>
        <v>0</v>
      </c>
      <c r="H40" s="7">
        <f t="shared" si="13"/>
        <v>0</v>
      </c>
      <c r="I40" s="7">
        <f t="shared" si="13"/>
        <v>0</v>
      </c>
      <c r="J40" s="7">
        <f t="shared" si="13"/>
        <v>0</v>
      </c>
      <c r="K40" s="7">
        <f t="shared" si="13"/>
        <v>0</v>
      </c>
      <c r="L40" s="7">
        <f t="shared" si="13"/>
        <v>0</v>
      </c>
      <c r="M40" s="7">
        <f t="shared" si="13"/>
        <v>0</v>
      </c>
    </row>
    <row r="41" spans="1:13" x14ac:dyDescent="0.3">
      <c r="A41" s="5" t="s">
        <v>330</v>
      </c>
      <c r="B41" s="8">
        <f t="shared" ref="B41:M41" si="14">(B39)+(B40)</f>
        <v>591571.44999999995</v>
      </c>
      <c r="C41" s="8">
        <f t="shared" si="14"/>
        <v>751453.57</v>
      </c>
      <c r="D41" s="8">
        <f t="shared" si="14"/>
        <v>751409.6</v>
      </c>
      <c r="E41" s="8">
        <f t="shared" si="14"/>
        <v>776314.44</v>
      </c>
      <c r="F41" s="8">
        <f t="shared" si="14"/>
        <v>582526.91</v>
      </c>
      <c r="G41" s="8">
        <f t="shared" si="14"/>
        <v>603799.09</v>
      </c>
      <c r="H41" s="8">
        <f t="shared" si="14"/>
        <v>601275.15</v>
      </c>
      <c r="I41" s="8">
        <f t="shared" si="14"/>
        <v>539302.15</v>
      </c>
      <c r="J41" s="8">
        <f t="shared" si="14"/>
        <v>525526.43000000005</v>
      </c>
      <c r="K41" s="8">
        <f t="shared" si="14"/>
        <v>565670.41</v>
      </c>
      <c r="L41" s="8">
        <f t="shared" si="14"/>
        <v>610544.98</v>
      </c>
      <c r="M41" s="8">
        <f t="shared" si="14"/>
        <v>705917.81</v>
      </c>
    </row>
    <row r="42" spans="1:13" x14ac:dyDescent="0.3">
      <c r="A42" s="5" t="s">
        <v>329</v>
      </c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</row>
    <row r="43" spans="1:13" x14ac:dyDescent="0.3">
      <c r="A43" s="5" t="s">
        <v>375</v>
      </c>
      <c r="B43" s="6"/>
      <c r="C43" s="7">
        <f t="shared" ref="C43:H44" si="15">B43</f>
        <v>0</v>
      </c>
      <c r="D43" s="7">
        <f t="shared" si="15"/>
        <v>0</v>
      </c>
      <c r="E43" s="7">
        <f t="shared" si="15"/>
        <v>0</v>
      </c>
      <c r="F43" s="7">
        <f t="shared" si="15"/>
        <v>0</v>
      </c>
      <c r="G43" s="7">
        <f t="shared" si="15"/>
        <v>0</v>
      </c>
      <c r="H43" s="7">
        <f t="shared" si="15"/>
        <v>0</v>
      </c>
      <c r="I43" s="7">
        <f>-186.81</f>
        <v>-186.81</v>
      </c>
      <c r="J43" s="7">
        <f>5363.28</f>
        <v>5363.28</v>
      </c>
      <c r="K43" s="7">
        <f>42255.15</f>
        <v>42255.15</v>
      </c>
      <c r="L43" s="7">
        <f>32302.11</f>
        <v>32302.11</v>
      </c>
      <c r="M43" s="7">
        <f>50788.54</f>
        <v>50788.54</v>
      </c>
    </row>
    <row r="44" spans="1:13" x14ac:dyDescent="0.3">
      <c r="A44" s="5" t="s">
        <v>328</v>
      </c>
      <c r="B44" s="7">
        <f>0</f>
        <v>0</v>
      </c>
      <c r="C44" s="7">
        <f t="shared" si="15"/>
        <v>0</v>
      </c>
      <c r="D44" s="7">
        <f t="shared" si="15"/>
        <v>0</v>
      </c>
      <c r="E44" s="7">
        <f t="shared" si="15"/>
        <v>0</v>
      </c>
      <c r="F44" s="7">
        <f t="shared" si="15"/>
        <v>0</v>
      </c>
      <c r="G44" s="7">
        <f t="shared" si="15"/>
        <v>0</v>
      </c>
      <c r="H44" s="7">
        <f t="shared" si="15"/>
        <v>0</v>
      </c>
      <c r="I44" s="7">
        <f>H44</f>
        <v>0</v>
      </c>
      <c r="J44" s="7">
        <f>I44</f>
        <v>0</v>
      </c>
      <c r="K44" s="7">
        <f>J44</f>
        <v>0</v>
      </c>
      <c r="L44" s="7">
        <f>K44</f>
        <v>0</v>
      </c>
      <c r="M44" s="7">
        <f>L44</f>
        <v>0</v>
      </c>
    </row>
    <row r="45" spans="1:13" x14ac:dyDescent="0.3">
      <c r="A45" s="5" t="s">
        <v>327</v>
      </c>
      <c r="B45" s="7">
        <f>265536.3</f>
        <v>265536.3</v>
      </c>
      <c r="C45" s="7">
        <f>398091.05</f>
        <v>398091.05</v>
      </c>
      <c r="D45" s="7">
        <f>188383.06</f>
        <v>188383.06</v>
      </c>
      <c r="E45" s="7">
        <f>215532.22</f>
        <v>215532.22</v>
      </c>
      <c r="F45" s="7">
        <f>245886.84</f>
        <v>245886.84</v>
      </c>
      <c r="G45" s="7">
        <f>79929.21</f>
        <v>79929.210000000006</v>
      </c>
      <c r="H45" s="7">
        <f>95966.12</f>
        <v>95966.12</v>
      </c>
      <c r="I45" s="7">
        <f>83973.51</f>
        <v>83973.51</v>
      </c>
      <c r="J45" s="7">
        <f>332126.37</f>
        <v>332126.37</v>
      </c>
      <c r="K45" s="7">
        <f>106862.22</f>
        <v>106862.22</v>
      </c>
      <c r="L45" s="7">
        <f>180536.84</f>
        <v>180536.84</v>
      </c>
      <c r="M45" s="7">
        <f>102214.2</f>
        <v>102214.2</v>
      </c>
    </row>
    <row r="46" spans="1:13" x14ac:dyDescent="0.3">
      <c r="A46" s="5" t="s">
        <v>326</v>
      </c>
      <c r="B46" s="7">
        <f>16061</f>
        <v>16061</v>
      </c>
      <c r="C46" s="7">
        <f>-2772.43</f>
        <v>-2772.43</v>
      </c>
      <c r="D46" s="7">
        <f>81.43</f>
        <v>81.430000000000007</v>
      </c>
      <c r="E46" s="7">
        <f>121.98</f>
        <v>121.98</v>
      </c>
      <c r="F46" s="7">
        <f>632.35</f>
        <v>632.35</v>
      </c>
      <c r="G46" s="7">
        <f>1082.43</f>
        <v>1082.43</v>
      </c>
      <c r="H46" s="7">
        <f>1788.37</f>
        <v>1788.37</v>
      </c>
      <c r="I46" s="7">
        <f>2287.08</f>
        <v>2287.08</v>
      </c>
      <c r="J46" s="7">
        <f>1709.94</f>
        <v>1709.94</v>
      </c>
      <c r="K46" s="7">
        <f>57.05</f>
        <v>57.05</v>
      </c>
      <c r="L46" s="7">
        <f>21255.2</f>
        <v>21255.200000000001</v>
      </c>
      <c r="M46" s="7">
        <f>13008.88</f>
        <v>13008.88</v>
      </c>
    </row>
    <row r="47" spans="1:13" x14ac:dyDescent="0.3">
      <c r="A47" s="5" t="s">
        <v>325</v>
      </c>
      <c r="B47" s="7">
        <f>0</f>
        <v>0</v>
      </c>
      <c r="C47" s="7">
        <f t="shared" ref="C47:M48" si="16">B47</f>
        <v>0</v>
      </c>
      <c r="D47" s="7">
        <f t="shared" si="16"/>
        <v>0</v>
      </c>
      <c r="E47" s="7">
        <f t="shared" si="16"/>
        <v>0</v>
      </c>
      <c r="F47" s="7">
        <f t="shared" si="16"/>
        <v>0</v>
      </c>
      <c r="G47" s="7">
        <f t="shared" si="16"/>
        <v>0</v>
      </c>
      <c r="H47" s="7">
        <f t="shared" si="16"/>
        <v>0</v>
      </c>
      <c r="I47" s="7">
        <f t="shared" si="16"/>
        <v>0</v>
      </c>
      <c r="J47" s="7">
        <f t="shared" si="16"/>
        <v>0</v>
      </c>
      <c r="K47" s="7">
        <f t="shared" si="16"/>
        <v>0</v>
      </c>
      <c r="L47" s="7">
        <f t="shared" si="16"/>
        <v>0</v>
      </c>
      <c r="M47" s="7">
        <f t="shared" si="16"/>
        <v>0</v>
      </c>
    </row>
    <row r="48" spans="1:13" x14ac:dyDescent="0.3">
      <c r="A48" s="5" t="s">
        <v>324</v>
      </c>
      <c r="B48" s="7">
        <f>0</f>
        <v>0</v>
      </c>
      <c r="C48" s="7">
        <f t="shared" si="16"/>
        <v>0</v>
      </c>
      <c r="D48" s="7">
        <f t="shared" si="16"/>
        <v>0</v>
      </c>
      <c r="E48" s="7">
        <f t="shared" si="16"/>
        <v>0</v>
      </c>
      <c r="F48" s="7">
        <f t="shared" si="16"/>
        <v>0</v>
      </c>
      <c r="G48" s="7">
        <f t="shared" si="16"/>
        <v>0</v>
      </c>
      <c r="H48" s="7">
        <f t="shared" si="16"/>
        <v>0</v>
      </c>
      <c r="I48" s="7">
        <f t="shared" si="16"/>
        <v>0</v>
      </c>
      <c r="J48" s="7">
        <f t="shared" si="16"/>
        <v>0</v>
      </c>
      <c r="K48" s="7">
        <f t="shared" si="16"/>
        <v>0</v>
      </c>
      <c r="L48" s="7">
        <f t="shared" si="16"/>
        <v>0</v>
      </c>
      <c r="M48" s="7">
        <f t="shared" si="16"/>
        <v>0</v>
      </c>
    </row>
    <row r="49" spans="1:13" x14ac:dyDescent="0.3">
      <c r="A49" s="5" t="s">
        <v>376</v>
      </c>
      <c r="B49" s="6"/>
      <c r="C49" s="7">
        <f>13706.09</f>
        <v>13706.09</v>
      </c>
      <c r="D49" s="7">
        <f>19743.03</f>
        <v>19743.03</v>
      </c>
      <c r="E49" s="7">
        <f>25928.88</f>
        <v>25928.880000000001</v>
      </c>
      <c r="F49" s="7">
        <f>11472.91</f>
        <v>11472.91</v>
      </c>
      <c r="G49" s="7">
        <f>F49</f>
        <v>11472.91</v>
      </c>
      <c r="H49" s="7">
        <f>G49</f>
        <v>11472.91</v>
      </c>
      <c r="I49" s="7">
        <f>H49</f>
        <v>11472.91</v>
      </c>
      <c r="J49" s="7">
        <f>11646.37</f>
        <v>11646.37</v>
      </c>
      <c r="K49" s="7">
        <f>J49</f>
        <v>11646.37</v>
      </c>
      <c r="L49" s="7">
        <f>K49</f>
        <v>11646.37</v>
      </c>
      <c r="M49" s="7">
        <f>L49</f>
        <v>11646.37</v>
      </c>
    </row>
    <row r="50" spans="1:13" x14ac:dyDescent="0.3">
      <c r="A50" s="5" t="s">
        <v>377</v>
      </c>
      <c r="B50" s="6"/>
      <c r="C50" s="7">
        <f>B50</f>
        <v>0</v>
      </c>
      <c r="D50" s="7">
        <f>C50</f>
        <v>0</v>
      </c>
      <c r="E50" s="7">
        <f>28194.52</f>
        <v>28194.52</v>
      </c>
      <c r="F50" s="7">
        <f>61024.2</f>
        <v>61024.2</v>
      </c>
      <c r="G50" s="7">
        <f>140541.42</f>
        <v>140541.42000000001</v>
      </c>
      <c r="H50" s="7">
        <f>112466.97</f>
        <v>112466.97</v>
      </c>
      <c r="I50" s="7">
        <f>130388.68</f>
        <v>130388.68</v>
      </c>
      <c r="J50" s="7">
        <f>136993.57</f>
        <v>136993.57</v>
      </c>
      <c r="K50" s="7">
        <f>1539.33</f>
        <v>1539.33</v>
      </c>
      <c r="L50" s="7">
        <f>44277.48</f>
        <v>44277.48</v>
      </c>
      <c r="M50" s="7">
        <f>195214.17</f>
        <v>195214.17</v>
      </c>
    </row>
    <row r="51" spans="1:13" x14ac:dyDescent="0.3">
      <c r="A51" s="5" t="s">
        <v>378</v>
      </c>
      <c r="B51" s="6"/>
      <c r="C51" s="7">
        <f>17614.7</f>
        <v>17614.7</v>
      </c>
      <c r="D51" s="7">
        <f>2059.67</f>
        <v>2059.67</v>
      </c>
      <c r="E51" s="7">
        <f>13938.85</f>
        <v>13938.85</v>
      </c>
      <c r="F51" s="7">
        <f>1753.28</f>
        <v>1753.28</v>
      </c>
      <c r="G51" s="7">
        <f>26633.45</f>
        <v>26633.45</v>
      </c>
      <c r="H51" s="7">
        <f>-4646.04</f>
        <v>-4646.04</v>
      </c>
      <c r="I51" s="7">
        <f>-466.19</f>
        <v>-466.19</v>
      </c>
      <c r="J51" s="7">
        <f>13347.8</f>
        <v>13347.8</v>
      </c>
      <c r="K51" s="7">
        <f>1888.31</f>
        <v>1888.31</v>
      </c>
      <c r="L51" s="7">
        <f>3633.97</f>
        <v>3633.97</v>
      </c>
      <c r="M51" s="7">
        <f>32354.07</f>
        <v>32354.07</v>
      </c>
    </row>
    <row r="52" spans="1:13" x14ac:dyDescent="0.3">
      <c r="A52" s="5" t="s">
        <v>323</v>
      </c>
      <c r="B52" s="7">
        <f>150676.99</f>
        <v>150676.99</v>
      </c>
      <c r="C52" s="7">
        <f>21.99</f>
        <v>21.99</v>
      </c>
      <c r="D52" s="7">
        <f>148734</f>
        <v>148734</v>
      </c>
      <c r="E52" s="7">
        <f>21.99</f>
        <v>21.99</v>
      </c>
      <c r="F52" s="7">
        <f>63.57</f>
        <v>63.57</v>
      </c>
      <c r="G52" s="7">
        <f>136.58</f>
        <v>136.58000000000001</v>
      </c>
      <c r="H52" s="7">
        <f>9</f>
        <v>9</v>
      </c>
      <c r="I52" s="7">
        <f>130146.78</f>
        <v>130146.78</v>
      </c>
      <c r="J52" s="7">
        <f>13331.93</f>
        <v>13331.93</v>
      </c>
      <c r="K52" s="7">
        <f>105365.96</f>
        <v>105365.96</v>
      </c>
      <c r="L52" s="7">
        <f>88105.1</f>
        <v>88105.1</v>
      </c>
      <c r="M52" s="7">
        <f>172013.52</f>
        <v>172013.52</v>
      </c>
    </row>
    <row r="53" spans="1:13" x14ac:dyDescent="0.3">
      <c r="A53" s="5" t="s">
        <v>379</v>
      </c>
      <c r="B53" s="7">
        <f>-2533.88</f>
        <v>-2533.88</v>
      </c>
      <c r="C53" s="7">
        <f t="shared" ref="C53:H53" si="17">B53</f>
        <v>-2533.88</v>
      </c>
      <c r="D53" s="7">
        <f t="shared" si="17"/>
        <v>-2533.88</v>
      </c>
      <c r="E53" s="7">
        <f t="shared" si="17"/>
        <v>-2533.88</v>
      </c>
      <c r="F53" s="7">
        <f t="shared" si="17"/>
        <v>-2533.88</v>
      </c>
      <c r="G53" s="7">
        <f t="shared" si="17"/>
        <v>-2533.88</v>
      </c>
      <c r="H53" s="7">
        <f t="shared" si="17"/>
        <v>-2533.88</v>
      </c>
      <c r="I53" s="7">
        <f>-2347.07</f>
        <v>-2347.0700000000002</v>
      </c>
      <c r="J53" s="7">
        <f>-2533.88</f>
        <v>-2533.88</v>
      </c>
      <c r="K53" s="7">
        <f>-2167.64</f>
        <v>-2167.64</v>
      </c>
      <c r="L53" s="7">
        <f>-2287.65</f>
        <v>-2287.65</v>
      </c>
      <c r="M53" s="7">
        <f>-2198.85</f>
        <v>-2198.85</v>
      </c>
    </row>
    <row r="54" spans="1:13" x14ac:dyDescent="0.3">
      <c r="A54" s="5" t="s">
        <v>322</v>
      </c>
      <c r="B54" s="7">
        <f>118571.21</f>
        <v>118571.21</v>
      </c>
      <c r="C54" s="7">
        <f>-9097.05</f>
        <v>-9097.0499999999993</v>
      </c>
      <c r="D54" s="7">
        <f>43572.15</f>
        <v>43572.15</v>
      </c>
      <c r="E54" s="7">
        <f>3250.1</f>
        <v>3250.1</v>
      </c>
      <c r="F54" s="7">
        <f>3025.95</f>
        <v>3025.95</v>
      </c>
      <c r="G54" s="7">
        <f>10334.64</f>
        <v>10334.64</v>
      </c>
      <c r="H54" s="7">
        <f>-960.43</f>
        <v>-960.43</v>
      </c>
      <c r="I54" s="7">
        <f>-3792.31</f>
        <v>-3792.31</v>
      </c>
      <c r="J54" s="7">
        <f t="shared" ref="J54:M55" si="18">I54</f>
        <v>-3792.31</v>
      </c>
      <c r="K54" s="7">
        <f t="shared" si="18"/>
        <v>-3792.31</v>
      </c>
      <c r="L54" s="7">
        <f t="shared" si="18"/>
        <v>-3792.31</v>
      </c>
      <c r="M54" s="7">
        <f t="shared" si="18"/>
        <v>-3792.31</v>
      </c>
    </row>
    <row r="55" spans="1:13" x14ac:dyDescent="0.3">
      <c r="A55" s="5" t="s">
        <v>321</v>
      </c>
      <c r="B55" s="7">
        <f>2875.57</f>
        <v>2875.57</v>
      </c>
      <c r="C55" s="7">
        <f>3666.15</f>
        <v>3666.15</v>
      </c>
      <c r="D55" s="7">
        <f>3763.61</f>
        <v>3763.61</v>
      </c>
      <c r="E55" s="7">
        <f>3782.53</f>
        <v>3782.53</v>
      </c>
      <c r="F55" s="7">
        <f>E55</f>
        <v>3782.53</v>
      </c>
      <c r="G55" s="7">
        <f>3792.31</f>
        <v>3792.31</v>
      </c>
      <c r="H55" s="7">
        <f>G55</f>
        <v>3792.31</v>
      </c>
      <c r="I55" s="7">
        <f>H55</f>
        <v>3792.31</v>
      </c>
      <c r="J55" s="7">
        <f t="shared" si="18"/>
        <v>3792.31</v>
      </c>
      <c r="K55" s="7">
        <f t="shared" si="18"/>
        <v>3792.31</v>
      </c>
      <c r="L55" s="7">
        <f t="shared" si="18"/>
        <v>3792.31</v>
      </c>
      <c r="M55" s="7">
        <f t="shared" si="18"/>
        <v>3792.31</v>
      </c>
    </row>
    <row r="56" spans="1:13" x14ac:dyDescent="0.3">
      <c r="A56" s="5" t="s">
        <v>320</v>
      </c>
      <c r="B56" s="8">
        <f t="shared" ref="B56:M56" si="19">(B54)+(B55)</f>
        <v>121446.78000000001</v>
      </c>
      <c r="C56" s="8">
        <f t="shared" si="19"/>
        <v>-5430.9</v>
      </c>
      <c r="D56" s="8">
        <f t="shared" si="19"/>
        <v>47335.76</v>
      </c>
      <c r="E56" s="8">
        <f t="shared" si="19"/>
        <v>7032.63</v>
      </c>
      <c r="F56" s="8">
        <f t="shared" si="19"/>
        <v>6808.48</v>
      </c>
      <c r="G56" s="8">
        <f t="shared" si="19"/>
        <v>14126.949999999999</v>
      </c>
      <c r="H56" s="8">
        <f t="shared" si="19"/>
        <v>2831.88</v>
      </c>
      <c r="I56" s="8">
        <f t="shared" si="19"/>
        <v>0</v>
      </c>
      <c r="J56" s="8">
        <f t="shared" si="19"/>
        <v>0</v>
      </c>
      <c r="K56" s="8">
        <f t="shared" si="19"/>
        <v>0</v>
      </c>
      <c r="L56" s="8">
        <f t="shared" si="19"/>
        <v>0</v>
      </c>
      <c r="M56" s="8">
        <f t="shared" si="19"/>
        <v>0</v>
      </c>
    </row>
    <row r="57" spans="1:13" x14ac:dyDescent="0.3">
      <c r="A57" s="5" t="s">
        <v>319</v>
      </c>
      <c r="B57" s="8">
        <f t="shared" ref="B57:M57" si="20">((((((((((B44)+(B45))+(B46))+(B47))+(B48))+(B49))+(B50))+(B51))+(B52))+(B53))+(B56)</f>
        <v>551187.18999999994</v>
      </c>
      <c r="C57" s="8">
        <f t="shared" si="20"/>
        <v>418696.62</v>
      </c>
      <c r="D57" s="8">
        <f t="shared" si="20"/>
        <v>403803.07</v>
      </c>
      <c r="E57" s="8">
        <f t="shared" si="20"/>
        <v>288237.19</v>
      </c>
      <c r="F57" s="8">
        <f t="shared" si="20"/>
        <v>325107.75</v>
      </c>
      <c r="G57" s="8">
        <f t="shared" si="20"/>
        <v>271389.07</v>
      </c>
      <c r="H57" s="8">
        <f t="shared" si="20"/>
        <v>217355.33</v>
      </c>
      <c r="I57" s="8">
        <f t="shared" si="20"/>
        <v>355455.7</v>
      </c>
      <c r="J57" s="8">
        <f t="shared" si="20"/>
        <v>506622.1</v>
      </c>
      <c r="K57" s="8">
        <f t="shared" si="20"/>
        <v>225191.59999999998</v>
      </c>
      <c r="L57" s="8">
        <f t="shared" si="20"/>
        <v>347167.31</v>
      </c>
      <c r="M57" s="8">
        <f t="shared" si="20"/>
        <v>524252.36</v>
      </c>
    </row>
    <row r="58" spans="1:13" x14ac:dyDescent="0.3">
      <c r="A58" s="5" t="s">
        <v>318</v>
      </c>
      <c r="B58" s="6"/>
      <c r="C58" s="7">
        <f t="shared" ref="C58:M58" si="21">B58</f>
        <v>0</v>
      </c>
      <c r="D58" s="7">
        <f t="shared" si="21"/>
        <v>0</v>
      </c>
      <c r="E58" s="7">
        <f t="shared" si="21"/>
        <v>0</v>
      </c>
      <c r="F58" s="7">
        <f t="shared" si="21"/>
        <v>0</v>
      </c>
      <c r="G58" s="7">
        <f t="shared" si="21"/>
        <v>0</v>
      </c>
      <c r="H58" s="7">
        <f t="shared" si="21"/>
        <v>0</v>
      </c>
      <c r="I58" s="7">
        <f t="shared" si="21"/>
        <v>0</v>
      </c>
      <c r="J58" s="7">
        <f t="shared" si="21"/>
        <v>0</v>
      </c>
      <c r="K58" s="7">
        <f t="shared" si="21"/>
        <v>0</v>
      </c>
      <c r="L58" s="7">
        <f t="shared" si="21"/>
        <v>0</v>
      </c>
      <c r="M58" s="7">
        <f t="shared" si="21"/>
        <v>0</v>
      </c>
    </row>
    <row r="59" spans="1:13" x14ac:dyDescent="0.3">
      <c r="A59" s="5" t="s">
        <v>317</v>
      </c>
      <c r="B59" s="7">
        <f>0</f>
        <v>0</v>
      </c>
      <c r="C59" s="7">
        <f>12162.42</f>
        <v>12162.42</v>
      </c>
      <c r="D59" s="7">
        <f>20067.24</f>
        <v>20067.240000000002</v>
      </c>
      <c r="E59" s="7">
        <f>46643.72</f>
        <v>46643.72</v>
      </c>
      <c r="F59" s="7">
        <f>51632.79</f>
        <v>51632.79</v>
      </c>
      <c r="G59" s="7">
        <f>40259.83</f>
        <v>40259.83</v>
      </c>
      <c r="H59" s="7">
        <f>42320.83</f>
        <v>42320.83</v>
      </c>
      <c r="I59" s="7">
        <f>41406.02</f>
        <v>41406.019999999997</v>
      </c>
      <c r="J59" s="7">
        <f>38908.1</f>
        <v>38908.1</v>
      </c>
      <c r="K59" s="7">
        <f>38729.45</f>
        <v>38729.449999999997</v>
      </c>
      <c r="L59" s="7">
        <f>K59</f>
        <v>38729.449999999997</v>
      </c>
      <c r="M59" s="7">
        <f>L59</f>
        <v>38729.449999999997</v>
      </c>
    </row>
    <row r="60" spans="1:13" x14ac:dyDescent="0.3">
      <c r="A60" s="5" t="s">
        <v>316</v>
      </c>
      <c r="B60" s="8">
        <f t="shared" ref="B60:M60" si="22">(B58)+(B59)</f>
        <v>0</v>
      </c>
      <c r="C60" s="8">
        <f t="shared" si="22"/>
        <v>12162.42</v>
      </c>
      <c r="D60" s="8">
        <f t="shared" si="22"/>
        <v>20067.240000000002</v>
      </c>
      <c r="E60" s="8">
        <f t="shared" si="22"/>
        <v>46643.72</v>
      </c>
      <c r="F60" s="8">
        <f t="shared" si="22"/>
        <v>51632.79</v>
      </c>
      <c r="G60" s="8">
        <f t="shared" si="22"/>
        <v>40259.83</v>
      </c>
      <c r="H60" s="8">
        <f t="shared" si="22"/>
        <v>42320.83</v>
      </c>
      <c r="I60" s="8">
        <f t="shared" si="22"/>
        <v>41406.019999999997</v>
      </c>
      <c r="J60" s="8">
        <f t="shared" si="22"/>
        <v>38908.1</v>
      </c>
      <c r="K60" s="8">
        <f t="shared" si="22"/>
        <v>38729.449999999997</v>
      </c>
      <c r="L60" s="8">
        <f t="shared" si="22"/>
        <v>38729.449999999997</v>
      </c>
      <c r="M60" s="8">
        <f t="shared" si="22"/>
        <v>38729.449999999997</v>
      </c>
    </row>
    <row r="61" spans="1:13" x14ac:dyDescent="0.3">
      <c r="A61" s="5" t="s">
        <v>315</v>
      </c>
      <c r="B61" s="7">
        <f>0</f>
        <v>0</v>
      </c>
      <c r="C61" s="7">
        <f t="shared" ref="C61:M61" si="23">B61</f>
        <v>0</v>
      </c>
      <c r="D61" s="7">
        <f t="shared" si="23"/>
        <v>0</v>
      </c>
      <c r="E61" s="7">
        <f t="shared" si="23"/>
        <v>0</v>
      </c>
      <c r="F61" s="7">
        <f t="shared" si="23"/>
        <v>0</v>
      </c>
      <c r="G61" s="7">
        <f t="shared" si="23"/>
        <v>0</v>
      </c>
      <c r="H61" s="7">
        <f t="shared" si="23"/>
        <v>0</v>
      </c>
      <c r="I61" s="7">
        <f t="shared" si="23"/>
        <v>0</v>
      </c>
      <c r="J61" s="7">
        <f t="shared" si="23"/>
        <v>0</v>
      </c>
      <c r="K61" s="7">
        <f t="shared" si="23"/>
        <v>0</v>
      </c>
      <c r="L61" s="7">
        <f t="shared" si="23"/>
        <v>0</v>
      </c>
      <c r="M61" s="7">
        <f t="shared" si="23"/>
        <v>0</v>
      </c>
    </row>
    <row r="62" spans="1:13" x14ac:dyDescent="0.3">
      <c r="A62" s="5" t="s">
        <v>314</v>
      </c>
      <c r="B62" s="8">
        <f t="shared" ref="B62:M62" si="24">(((B43)+(B57))+(B60))+(B61)</f>
        <v>551187.18999999994</v>
      </c>
      <c r="C62" s="8">
        <f t="shared" si="24"/>
        <v>430859.04</v>
      </c>
      <c r="D62" s="8">
        <f t="shared" si="24"/>
        <v>423870.31</v>
      </c>
      <c r="E62" s="8">
        <f t="shared" si="24"/>
        <v>334880.91000000003</v>
      </c>
      <c r="F62" s="8">
        <f t="shared" si="24"/>
        <v>376740.54</v>
      </c>
      <c r="G62" s="8">
        <f t="shared" si="24"/>
        <v>311648.90000000002</v>
      </c>
      <c r="H62" s="8">
        <f t="shared" si="24"/>
        <v>259676.15999999997</v>
      </c>
      <c r="I62" s="8">
        <f t="shared" si="24"/>
        <v>396674.91000000003</v>
      </c>
      <c r="J62" s="8">
        <f t="shared" si="24"/>
        <v>550893.48</v>
      </c>
      <c r="K62" s="8">
        <f t="shared" si="24"/>
        <v>306176.2</v>
      </c>
      <c r="L62" s="8">
        <f t="shared" si="24"/>
        <v>418198.87</v>
      </c>
      <c r="M62" s="8">
        <f t="shared" si="24"/>
        <v>613770.35</v>
      </c>
    </row>
    <row r="63" spans="1:13" x14ac:dyDescent="0.3">
      <c r="A63" s="5" t="s">
        <v>313</v>
      </c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</row>
    <row r="64" spans="1:13" x14ac:dyDescent="0.3">
      <c r="A64" s="5" t="s">
        <v>312</v>
      </c>
      <c r="B64" s="7">
        <f>0</f>
        <v>0</v>
      </c>
      <c r="C64" s="7">
        <f t="shared" ref="C64:M65" si="25">B64</f>
        <v>0</v>
      </c>
      <c r="D64" s="7">
        <f t="shared" si="25"/>
        <v>0</v>
      </c>
      <c r="E64" s="7">
        <f t="shared" si="25"/>
        <v>0</v>
      </c>
      <c r="F64" s="7">
        <f t="shared" si="25"/>
        <v>0</v>
      </c>
      <c r="G64" s="7">
        <f t="shared" si="25"/>
        <v>0</v>
      </c>
      <c r="H64" s="7">
        <f t="shared" si="25"/>
        <v>0</v>
      </c>
      <c r="I64" s="7">
        <f t="shared" si="25"/>
        <v>0</v>
      </c>
      <c r="J64" s="7">
        <f t="shared" si="25"/>
        <v>0</v>
      </c>
      <c r="K64" s="7">
        <f t="shared" si="25"/>
        <v>0</v>
      </c>
      <c r="L64" s="7">
        <f t="shared" si="25"/>
        <v>0</v>
      </c>
      <c r="M64" s="7">
        <f t="shared" si="25"/>
        <v>0</v>
      </c>
    </row>
    <row r="65" spans="1:13" x14ac:dyDescent="0.3">
      <c r="A65" s="5" t="s">
        <v>311</v>
      </c>
      <c r="B65" s="7">
        <f>0</f>
        <v>0</v>
      </c>
      <c r="C65" s="7">
        <f t="shared" si="25"/>
        <v>0</v>
      </c>
      <c r="D65" s="7">
        <f t="shared" si="25"/>
        <v>0</v>
      </c>
      <c r="E65" s="7">
        <f t="shared" si="25"/>
        <v>0</v>
      </c>
      <c r="F65" s="7">
        <f t="shared" si="25"/>
        <v>0</v>
      </c>
      <c r="G65" s="7">
        <f t="shared" si="25"/>
        <v>0</v>
      </c>
      <c r="H65" s="7">
        <f t="shared" si="25"/>
        <v>0</v>
      </c>
      <c r="I65" s="7">
        <f t="shared" si="25"/>
        <v>0</v>
      </c>
      <c r="J65" s="7">
        <f t="shared" si="25"/>
        <v>0</v>
      </c>
      <c r="K65" s="7">
        <f t="shared" si="25"/>
        <v>0</v>
      </c>
      <c r="L65" s="7">
        <f t="shared" si="25"/>
        <v>0</v>
      </c>
      <c r="M65" s="7">
        <f t="shared" si="25"/>
        <v>0</v>
      </c>
    </row>
    <row r="66" spans="1:13" x14ac:dyDescent="0.3">
      <c r="A66" s="5" t="s">
        <v>310</v>
      </c>
      <c r="B66" s="7">
        <f>109530.73</f>
        <v>109530.73</v>
      </c>
      <c r="C66" s="7">
        <f>104304.63</f>
        <v>104304.63</v>
      </c>
      <c r="D66" s="7">
        <f>99014.42</f>
        <v>99014.42</v>
      </c>
      <c r="E66" s="7">
        <f>93659.32</f>
        <v>93659.32</v>
      </c>
      <c r="F66" s="7">
        <f>88238.54</f>
        <v>88238.54</v>
      </c>
      <c r="G66" s="7">
        <f>82751.29</f>
        <v>82751.289999999994</v>
      </c>
      <c r="H66" s="7">
        <f>77196.74</f>
        <v>77196.740000000005</v>
      </c>
      <c r="I66" s="7">
        <f>71574.05</f>
        <v>71574.05</v>
      </c>
      <c r="J66" s="7">
        <f>65882.41</f>
        <v>65882.41</v>
      </c>
      <c r="K66" s="7">
        <f>60120.96</f>
        <v>60120.959999999999</v>
      </c>
      <c r="L66" s="7">
        <f>54298.85</f>
        <v>54298.85</v>
      </c>
      <c r="M66" s="7">
        <f>48435.32</f>
        <v>48435.32</v>
      </c>
    </row>
    <row r="67" spans="1:13" x14ac:dyDescent="0.3">
      <c r="A67" s="5" t="s">
        <v>309</v>
      </c>
      <c r="B67" s="7">
        <f>0</f>
        <v>0</v>
      </c>
      <c r="C67" s="7">
        <f t="shared" ref="C67:M70" si="26">B67</f>
        <v>0</v>
      </c>
      <c r="D67" s="7">
        <f t="shared" si="26"/>
        <v>0</v>
      </c>
      <c r="E67" s="7">
        <f t="shared" si="26"/>
        <v>0</v>
      </c>
      <c r="F67" s="7">
        <f t="shared" si="26"/>
        <v>0</v>
      </c>
      <c r="G67" s="7">
        <f t="shared" si="26"/>
        <v>0</v>
      </c>
      <c r="H67" s="7">
        <f t="shared" si="26"/>
        <v>0</v>
      </c>
      <c r="I67" s="7">
        <f t="shared" si="26"/>
        <v>0</v>
      </c>
      <c r="J67" s="7">
        <f t="shared" si="26"/>
        <v>0</v>
      </c>
      <c r="K67" s="7">
        <f t="shared" si="26"/>
        <v>0</v>
      </c>
      <c r="L67" s="7">
        <f t="shared" si="26"/>
        <v>0</v>
      </c>
      <c r="M67" s="7">
        <f t="shared" si="26"/>
        <v>0</v>
      </c>
    </row>
    <row r="68" spans="1:13" x14ac:dyDescent="0.3">
      <c r="A68" s="5" t="s">
        <v>308</v>
      </c>
      <c r="B68" s="7">
        <f>0</f>
        <v>0</v>
      </c>
      <c r="C68" s="7">
        <f t="shared" si="26"/>
        <v>0</v>
      </c>
      <c r="D68" s="7">
        <f t="shared" si="26"/>
        <v>0</v>
      </c>
      <c r="E68" s="7">
        <f t="shared" si="26"/>
        <v>0</v>
      </c>
      <c r="F68" s="7">
        <f t="shared" si="26"/>
        <v>0</v>
      </c>
      <c r="G68" s="7">
        <f t="shared" si="26"/>
        <v>0</v>
      </c>
      <c r="H68" s="7">
        <f t="shared" si="26"/>
        <v>0</v>
      </c>
      <c r="I68" s="7">
        <f t="shared" si="26"/>
        <v>0</v>
      </c>
      <c r="J68" s="7">
        <f t="shared" si="26"/>
        <v>0</v>
      </c>
      <c r="K68" s="7">
        <f t="shared" si="26"/>
        <v>0</v>
      </c>
      <c r="L68" s="7">
        <f t="shared" si="26"/>
        <v>0</v>
      </c>
      <c r="M68" s="7">
        <f t="shared" si="26"/>
        <v>0</v>
      </c>
    </row>
    <row r="69" spans="1:13" x14ac:dyDescent="0.3">
      <c r="A69" s="5" t="s">
        <v>307</v>
      </c>
      <c r="B69" s="7">
        <f>0</f>
        <v>0</v>
      </c>
      <c r="C69" s="7">
        <f t="shared" si="26"/>
        <v>0</v>
      </c>
      <c r="D69" s="7">
        <f t="shared" si="26"/>
        <v>0</v>
      </c>
      <c r="E69" s="7">
        <f t="shared" si="26"/>
        <v>0</v>
      </c>
      <c r="F69" s="7">
        <f t="shared" si="26"/>
        <v>0</v>
      </c>
      <c r="G69" s="7">
        <f t="shared" si="26"/>
        <v>0</v>
      </c>
      <c r="H69" s="7">
        <f t="shared" si="26"/>
        <v>0</v>
      </c>
      <c r="I69" s="7">
        <f t="shared" si="26"/>
        <v>0</v>
      </c>
      <c r="J69" s="7">
        <f t="shared" si="26"/>
        <v>0</v>
      </c>
      <c r="K69" s="7">
        <f t="shared" si="26"/>
        <v>0</v>
      </c>
      <c r="L69" s="7">
        <f t="shared" si="26"/>
        <v>0</v>
      </c>
      <c r="M69" s="7">
        <f t="shared" si="26"/>
        <v>0</v>
      </c>
    </row>
    <row r="70" spans="1:13" x14ac:dyDescent="0.3">
      <c r="A70" s="5" t="s">
        <v>306</v>
      </c>
      <c r="B70" s="7">
        <f>0</f>
        <v>0</v>
      </c>
      <c r="C70" s="7">
        <f t="shared" si="26"/>
        <v>0</v>
      </c>
      <c r="D70" s="7">
        <f t="shared" si="26"/>
        <v>0</v>
      </c>
      <c r="E70" s="7">
        <f t="shared" si="26"/>
        <v>0</v>
      </c>
      <c r="F70" s="7">
        <f t="shared" si="26"/>
        <v>0</v>
      </c>
      <c r="G70" s="7">
        <f t="shared" si="26"/>
        <v>0</v>
      </c>
      <c r="H70" s="7">
        <f t="shared" si="26"/>
        <v>0</v>
      </c>
      <c r="I70" s="7">
        <f t="shared" si="26"/>
        <v>0</v>
      </c>
      <c r="J70" s="7">
        <f t="shared" si="26"/>
        <v>0</v>
      </c>
      <c r="K70" s="7">
        <f t="shared" si="26"/>
        <v>0</v>
      </c>
      <c r="L70" s="7">
        <f t="shared" si="26"/>
        <v>0</v>
      </c>
      <c r="M70" s="7">
        <f t="shared" si="26"/>
        <v>0</v>
      </c>
    </row>
    <row r="71" spans="1:13" x14ac:dyDescent="0.3">
      <c r="A71" s="5" t="s">
        <v>305</v>
      </c>
      <c r="B71" s="8">
        <f t="shared" ref="B71:M71" si="27">(B69)+(B70)</f>
        <v>0</v>
      </c>
      <c r="C71" s="8">
        <f t="shared" si="27"/>
        <v>0</v>
      </c>
      <c r="D71" s="8">
        <f t="shared" si="27"/>
        <v>0</v>
      </c>
      <c r="E71" s="8">
        <f t="shared" si="27"/>
        <v>0</v>
      </c>
      <c r="F71" s="8">
        <f t="shared" si="27"/>
        <v>0</v>
      </c>
      <c r="G71" s="8">
        <f t="shared" si="27"/>
        <v>0</v>
      </c>
      <c r="H71" s="8">
        <f t="shared" si="27"/>
        <v>0</v>
      </c>
      <c r="I71" s="8">
        <f t="shared" si="27"/>
        <v>0</v>
      </c>
      <c r="J71" s="8">
        <f t="shared" si="27"/>
        <v>0</v>
      </c>
      <c r="K71" s="8">
        <f t="shared" si="27"/>
        <v>0</v>
      </c>
      <c r="L71" s="8">
        <f t="shared" si="27"/>
        <v>0</v>
      </c>
      <c r="M71" s="8">
        <f t="shared" si="27"/>
        <v>0</v>
      </c>
    </row>
    <row r="72" spans="1:13" x14ac:dyDescent="0.3">
      <c r="A72" s="5" t="s">
        <v>304</v>
      </c>
      <c r="B72" s="7">
        <f>0</f>
        <v>0</v>
      </c>
      <c r="C72" s="7">
        <f t="shared" ref="C72:M76" si="28">B72</f>
        <v>0</v>
      </c>
      <c r="D72" s="7">
        <f t="shared" si="28"/>
        <v>0</v>
      </c>
      <c r="E72" s="7">
        <f t="shared" si="28"/>
        <v>0</v>
      </c>
      <c r="F72" s="7">
        <f t="shared" si="28"/>
        <v>0</v>
      </c>
      <c r="G72" s="7">
        <f t="shared" si="28"/>
        <v>0</v>
      </c>
      <c r="H72" s="7">
        <f t="shared" si="28"/>
        <v>0</v>
      </c>
      <c r="I72" s="7">
        <f t="shared" si="28"/>
        <v>0</v>
      </c>
      <c r="J72" s="7">
        <f t="shared" si="28"/>
        <v>0</v>
      </c>
      <c r="K72" s="7">
        <f t="shared" si="28"/>
        <v>0</v>
      </c>
      <c r="L72" s="7">
        <f t="shared" si="28"/>
        <v>0</v>
      </c>
      <c r="M72" s="7">
        <f t="shared" si="28"/>
        <v>0</v>
      </c>
    </row>
    <row r="73" spans="1:13" x14ac:dyDescent="0.3">
      <c r="A73" s="5" t="s">
        <v>303</v>
      </c>
      <c r="B73" s="6"/>
      <c r="C73" s="7">
        <f t="shared" si="28"/>
        <v>0</v>
      </c>
      <c r="D73" s="7">
        <f t="shared" si="28"/>
        <v>0</v>
      </c>
      <c r="E73" s="7">
        <f t="shared" si="28"/>
        <v>0</v>
      </c>
      <c r="F73" s="7">
        <f t="shared" si="28"/>
        <v>0</v>
      </c>
      <c r="G73" s="7">
        <f t="shared" si="28"/>
        <v>0</v>
      </c>
      <c r="H73" s="7">
        <f t="shared" si="28"/>
        <v>0</v>
      </c>
      <c r="I73" s="7">
        <f t="shared" si="28"/>
        <v>0</v>
      </c>
      <c r="J73" s="7">
        <f t="shared" si="28"/>
        <v>0</v>
      </c>
      <c r="K73" s="7">
        <f t="shared" si="28"/>
        <v>0</v>
      </c>
      <c r="L73" s="7">
        <f t="shared" si="28"/>
        <v>0</v>
      </c>
      <c r="M73" s="7">
        <f>42.46</f>
        <v>42.46</v>
      </c>
    </row>
    <row r="74" spans="1:13" x14ac:dyDescent="0.3">
      <c r="A74" s="5" t="s">
        <v>302</v>
      </c>
      <c r="B74" s="7">
        <f>0</f>
        <v>0</v>
      </c>
      <c r="C74" s="7">
        <f t="shared" si="28"/>
        <v>0</v>
      </c>
      <c r="D74" s="7">
        <f t="shared" si="28"/>
        <v>0</v>
      </c>
      <c r="E74" s="7">
        <f t="shared" si="28"/>
        <v>0</v>
      </c>
      <c r="F74" s="7">
        <f t="shared" si="28"/>
        <v>0</v>
      </c>
      <c r="G74" s="7">
        <f t="shared" si="28"/>
        <v>0</v>
      </c>
      <c r="H74" s="7">
        <f t="shared" si="28"/>
        <v>0</v>
      </c>
      <c r="I74" s="7">
        <f t="shared" si="28"/>
        <v>0</v>
      </c>
      <c r="J74" s="7">
        <f t="shared" si="28"/>
        <v>0</v>
      </c>
      <c r="K74" s="7">
        <f t="shared" si="28"/>
        <v>0</v>
      </c>
      <c r="L74" s="7">
        <f t="shared" si="28"/>
        <v>0</v>
      </c>
      <c r="M74" s="7">
        <f>L74</f>
        <v>0</v>
      </c>
    </row>
    <row r="75" spans="1:13" x14ac:dyDescent="0.3">
      <c r="A75" s="5" t="s">
        <v>301</v>
      </c>
      <c r="B75" s="7">
        <f>0</f>
        <v>0</v>
      </c>
      <c r="C75" s="7">
        <f t="shared" si="28"/>
        <v>0</v>
      </c>
      <c r="D75" s="7">
        <f t="shared" si="28"/>
        <v>0</v>
      </c>
      <c r="E75" s="7">
        <f t="shared" si="28"/>
        <v>0</v>
      </c>
      <c r="F75" s="7">
        <f t="shared" si="28"/>
        <v>0</v>
      </c>
      <c r="G75" s="7">
        <f t="shared" si="28"/>
        <v>0</v>
      </c>
      <c r="H75" s="7">
        <f t="shared" si="28"/>
        <v>0</v>
      </c>
      <c r="I75" s="7">
        <f t="shared" si="28"/>
        <v>0</v>
      </c>
      <c r="J75" s="7">
        <f t="shared" si="28"/>
        <v>0</v>
      </c>
      <c r="K75" s="7">
        <f t="shared" si="28"/>
        <v>0</v>
      </c>
      <c r="L75" s="7">
        <f t="shared" si="28"/>
        <v>0</v>
      </c>
      <c r="M75" s="7">
        <f>L75</f>
        <v>0</v>
      </c>
    </row>
    <row r="76" spans="1:13" x14ac:dyDescent="0.3">
      <c r="A76" s="5" t="s">
        <v>300</v>
      </c>
      <c r="B76" s="7">
        <f>0</f>
        <v>0</v>
      </c>
      <c r="C76" s="7">
        <f>B76</f>
        <v>0</v>
      </c>
      <c r="D76" s="7">
        <f>C76</f>
        <v>0</v>
      </c>
      <c r="E76" s="7">
        <f>D76</f>
        <v>0</v>
      </c>
      <c r="F76" s="7">
        <f>-1598</f>
        <v>-1598</v>
      </c>
      <c r="G76" s="7">
        <f t="shared" si="28"/>
        <v>-1598</v>
      </c>
      <c r="H76" s="7">
        <f t="shared" si="28"/>
        <v>-1598</v>
      </c>
      <c r="I76" s="7">
        <f t="shared" si="28"/>
        <v>-1598</v>
      </c>
      <c r="J76" s="7">
        <f t="shared" si="28"/>
        <v>-1598</v>
      </c>
      <c r="K76" s="7">
        <f t="shared" si="28"/>
        <v>-1598</v>
      </c>
      <c r="L76" s="7">
        <f t="shared" si="28"/>
        <v>-1598</v>
      </c>
      <c r="M76" s="7">
        <f>L76</f>
        <v>-1598</v>
      </c>
    </row>
    <row r="77" spans="1:13" x14ac:dyDescent="0.3">
      <c r="A77" s="5" t="s">
        <v>299</v>
      </c>
      <c r="B77" s="8">
        <f t="shared" ref="B77:M77" si="29">(((B73)+(B74))+(B75))+(B76)</f>
        <v>0</v>
      </c>
      <c r="C77" s="8">
        <f t="shared" si="29"/>
        <v>0</v>
      </c>
      <c r="D77" s="8">
        <f t="shared" si="29"/>
        <v>0</v>
      </c>
      <c r="E77" s="8">
        <f t="shared" si="29"/>
        <v>0</v>
      </c>
      <c r="F77" s="8">
        <f t="shared" si="29"/>
        <v>-1598</v>
      </c>
      <c r="G77" s="8">
        <f t="shared" si="29"/>
        <v>-1598</v>
      </c>
      <c r="H77" s="8">
        <f t="shared" si="29"/>
        <v>-1598</v>
      </c>
      <c r="I77" s="8">
        <f t="shared" si="29"/>
        <v>-1598</v>
      </c>
      <c r="J77" s="8">
        <f t="shared" si="29"/>
        <v>-1598</v>
      </c>
      <c r="K77" s="8">
        <f t="shared" si="29"/>
        <v>-1598</v>
      </c>
      <c r="L77" s="8">
        <f t="shared" si="29"/>
        <v>-1598</v>
      </c>
      <c r="M77" s="8">
        <f t="shared" si="29"/>
        <v>-1555.54</v>
      </c>
    </row>
    <row r="78" spans="1:13" x14ac:dyDescent="0.3">
      <c r="A78" s="5" t="s">
        <v>298</v>
      </c>
      <c r="B78" s="7">
        <f>11029.96</f>
        <v>11029.96</v>
      </c>
      <c r="C78" s="7">
        <f t="shared" ref="C78:M78" si="30">B78</f>
        <v>11029.96</v>
      </c>
      <c r="D78" s="7">
        <f t="shared" si="30"/>
        <v>11029.96</v>
      </c>
      <c r="E78" s="7">
        <f t="shared" si="30"/>
        <v>11029.96</v>
      </c>
      <c r="F78" s="7">
        <f t="shared" si="30"/>
        <v>11029.96</v>
      </c>
      <c r="G78" s="7">
        <f t="shared" si="30"/>
        <v>11029.96</v>
      </c>
      <c r="H78" s="7">
        <f t="shared" si="30"/>
        <v>11029.96</v>
      </c>
      <c r="I78" s="7">
        <f t="shared" si="30"/>
        <v>11029.96</v>
      </c>
      <c r="J78" s="7">
        <f t="shared" si="30"/>
        <v>11029.96</v>
      </c>
      <c r="K78" s="7">
        <f t="shared" si="30"/>
        <v>11029.96</v>
      </c>
      <c r="L78" s="7">
        <f t="shared" si="30"/>
        <v>11029.96</v>
      </c>
      <c r="M78" s="7">
        <f t="shared" si="30"/>
        <v>11029.96</v>
      </c>
    </row>
    <row r="79" spans="1:13" x14ac:dyDescent="0.3">
      <c r="A79" s="5" t="s">
        <v>297</v>
      </c>
      <c r="B79" s="8">
        <f t="shared" ref="B79:M79" si="31">((((((((B64)+(B65))+(B66))+(B67))+(B68))+(B71))+(B72))+(B77))+(B78)</f>
        <v>120560.69</v>
      </c>
      <c r="C79" s="8">
        <f t="shared" si="31"/>
        <v>115334.59</v>
      </c>
      <c r="D79" s="8">
        <f t="shared" si="31"/>
        <v>110044.38</v>
      </c>
      <c r="E79" s="8">
        <f t="shared" si="31"/>
        <v>104689.28</v>
      </c>
      <c r="F79" s="8">
        <f t="shared" si="31"/>
        <v>97670.5</v>
      </c>
      <c r="G79" s="8">
        <f t="shared" si="31"/>
        <v>92183.25</v>
      </c>
      <c r="H79" s="8">
        <f t="shared" si="31"/>
        <v>86628.700000000012</v>
      </c>
      <c r="I79" s="8">
        <f t="shared" si="31"/>
        <v>81006.010000000009</v>
      </c>
      <c r="J79" s="8">
        <f t="shared" si="31"/>
        <v>75314.37</v>
      </c>
      <c r="K79" s="8">
        <f t="shared" si="31"/>
        <v>69552.92</v>
      </c>
      <c r="L79" s="8">
        <f t="shared" si="31"/>
        <v>63730.81</v>
      </c>
      <c r="M79" s="8">
        <f t="shared" si="31"/>
        <v>57909.74</v>
      </c>
    </row>
    <row r="80" spans="1:13" x14ac:dyDescent="0.3">
      <c r="A80" s="5" t="s">
        <v>296</v>
      </c>
      <c r="B80" s="8">
        <f t="shared" ref="B80:M80" si="32">((B41)+(B62))+(B79)</f>
        <v>1263319.3299999998</v>
      </c>
      <c r="C80" s="8">
        <f t="shared" si="32"/>
        <v>1297647.2</v>
      </c>
      <c r="D80" s="8">
        <f t="shared" si="32"/>
        <v>1285324.29</v>
      </c>
      <c r="E80" s="8">
        <f t="shared" si="32"/>
        <v>1215884.6300000001</v>
      </c>
      <c r="F80" s="8">
        <f t="shared" si="32"/>
        <v>1056937.95</v>
      </c>
      <c r="G80" s="8">
        <f t="shared" si="32"/>
        <v>1007631.24</v>
      </c>
      <c r="H80" s="8">
        <f t="shared" si="32"/>
        <v>947580.01</v>
      </c>
      <c r="I80" s="8">
        <f t="shared" si="32"/>
        <v>1016983.0700000001</v>
      </c>
      <c r="J80" s="8">
        <f t="shared" si="32"/>
        <v>1151734.2800000003</v>
      </c>
      <c r="K80" s="8">
        <f t="shared" si="32"/>
        <v>941399.53000000014</v>
      </c>
      <c r="L80" s="8">
        <f t="shared" si="32"/>
        <v>1092474.6599999999</v>
      </c>
      <c r="M80" s="8">
        <f t="shared" si="32"/>
        <v>1377597.9000000001</v>
      </c>
    </row>
    <row r="81" spans="1:13" x14ac:dyDescent="0.3">
      <c r="A81" s="5" t="s">
        <v>295</v>
      </c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</row>
    <row r="82" spans="1:13" x14ac:dyDescent="0.3">
      <c r="A82" s="5" t="s">
        <v>294</v>
      </c>
      <c r="B82" s="6"/>
      <c r="C82" s="7">
        <f t="shared" ref="C82:M84" si="33">B82</f>
        <v>0</v>
      </c>
      <c r="D82" s="7">
        <f t="shared" si="33"/>
        <v>0</v>
      </c>
      <c r="E82" s="7">
        <f t="shared" si="33"/>
        <v>0</v>
      </c>
      <c r="F82" s="7">
        <f t="shared" si="33"/>
        <v>0</v>
      </c>
      <c r="G82" s="7">
        <f t="shared" si="33"/>
        <v>0</v>
      </c>
      <c r="H82" s="7">
        <f t="shared" si="33"/>
        <v>0</v>
      </c>
      <c r="I82" s="7">
        <f t="shared" si="33"/>
        <v>0</v>
      </c>
      <c r="J82" s="7">
        <f t="shared" si="33"/>
        <v>0</v>
      </c>
      <c r="K82" s="7">
        <f t="shared" si="33"/>
        <v>0</v>
      </c>
      <c r="L82" s="7">
        <f t="shared" si="33"/>
        <v>0</v>
      </c>
      <c r="M82" s="7">
        <f t="shared" si="33"/>
        <v>0</v>
      </c>
    </row>
    <row r="83" spans="1:13" x14ac:dyDescent="0.3">
      <c r="A83" s="5" t="s">
        <v>293</v>
      </c>
      <c r="B83" s="7">
        <f>0</f>
        <v>0</v>
      </c>
      <c r="C83" s="7">
        <f t="shared" si="33"/>
        <v>0</v>
      </c>
      <c r="D83" s="7">
        <f t="shared" si="33"/>
        <v>0</v>
      </c>
      <c r="E83" s="7">
        <f t="shared" si="33"/>
        <v>0</v>
      </c>
      <c r="F83" s="7">
        <f t="shared" si="33"/>
        <v>0</v>
      </c>
      <c r="G83" s="7">
        <f t="shared" si="33"/>
        <v>0</v>
      </c>
      <c r="H83" s="7">
        <f t="shared" si="33"/>
        <v>0</v>
      </c>
      <c r="I83" s="7">
        <f t="shared" si="33"/>
        <v>0</v>
      </c>
      <c r="J83" s="7">
        <f t="shared" si="33"/>
        <v>0</v>
      </c>
      <c r="K83" s="7">
        <f t="shared" si="33"/>
        <v>0</v>
      </c>
      <c r="L83" s="7">
        <f t="shared" si="33"/>
        <v>0</v>
      </c>
      <c r="M83" s="7">
        <f t="shared" si="33"/>
        <v>0</v>
      </c>
    </row>
    <row r="84" spans="1:13" x14ac:dyDescent="0.3">
      <c r="A84" s="5" t="s">
        <v>292</v>
      </c>
      <c r="B84" s="7">
        <f>0</f>
        <v>0</v>
      </c>
      <c r="C84" s="7">
        <f t="shared" si="33"/>
        <v>0</v>
      </c>
      <c r="D84" s="7">
        <f t="shared" si="33"/>
        <v>0</v>
      </c>
      <c r="E84" s="7">
        <f t="shared" si="33"/>
        <v>0</v>
      </c>
      <c r="F84" s="7">
        <f t="shared" si="33"/>
        <v>0</v>
      </c>
      <c r="G84" s="7">
        <f t="shared" si="33"/>
        <v>0</v>
      </c>
      <c r="H84" s="7">
        <f t="shared" si="33"/>
        <v>0</v>
      </c>
      <c r="I84" s="7">
        <f t="shared" si="33"/>
        <v>0</v>
      </c>
      <c r="J84" s="7">
        <f t="shared" si="33"/>
        <v>0</v>
      </c>
      <c r="K84" s="7">
        <f t="shared" si="33"/>
        <v>0</v>
      </c>
      <c r="L84" s="7">
        <f t="shared" si="33"/>
        <v>0</v>
      </c>
      <c r="M84" s="7">
        <f t="shared" si="33"/>
        <v>0</v>
      </c>
    </row>
    <row r="85" spans="1:13" x14ac:dyDescent="0.3">
      <c r="A85" s="5" t="s">
        <v>291</v>
      </c>
      <c r="B85" s="8">
        <f t="shared" ref="B85:M85" si="34">(B83)+(B84)</f>
        <v>0</v>
      </c>
      <c r="C85" s="8">
        <f t="shared" si="34"/>
        <v>0</v>
      </c>
      <c r="D85" s="8">
        <f t="shared" si="34"/>
        <v>0</v>
      </c>
      <c r="E85" s="8">
        <f t="shared" si="34"/>
        <v>0</v>
      </c>
      <c r="F85" s="8">
        <f t="shared" si="34"/>
        <v>0</v>
      </c>
      <c r="G85" s="8">
        <f t="shared" si="34"/>
        <v>0</v>
      </c>
      <c r="H85" s="8">
        <f t="shared" si="34"/>
        <v>0</v>
      </c>
      <c r="I85" s="8">
        <f t="shared" si="34"/>
        <v>0</v>
      </c>
      <c r="J85" s="8">
        <f t="shared" si="34"/>
        <v>0</v>
      </c>
      <c r="K85" s="8">
        <f t="shared" si="34"/>
        <v>0</v>
      </c>
      <c r="L85" s="8">
        <f t="shared" si="34"/>
        <v>0</v>
      </c>
      <c r="M85" s="8">
        <f t="shared" si="34"/>
        <v>0</v>
      </c>
    </row>
    <row r="86" spans="1:13" x14ac:dyDescent="0.3">
      <c r="A86" s="5" t="s">
        <v>290</v>
      </c>
      <c r="B86" s="7">
        <f>0</f>
        <v>0</v>
      </c>
      <c r="C86" s="7">
        <f t="shared" ref="C86:M87" si="35">B86</f>
        <v>0</v>
      </c>
      <c r="D86" s="7">
        <f t="shared" si="35"/>
        <v>0</v>
      </c>
      <c r="E86" s="7">
        <f t="shared" si="35"/>
        <v>0</v>
      </c>
      <c r="F86" s="7">
        <f t="shared" si="35"/>
        <v>0</v>
      </c>
      <c r="G86" s="7">
        <f t="shared" si="35"/>
        <v>0</v>
      </c>
      <c r="H86" s="7">
        <f t="shared" si="35"/>
        <v>0</v>
      </c>
      <c r="I86" s="7">
        <f t="shared" si="35"/>
        <v>0</v>
      </c>
      <c r="J86" s="7">
        <f t="shared" si="35"/>
        <v>0</v>
      </c>
      <c r="K86" s="7">
        <f t="shared" si="35"/>
        <v>0</v>
      </c>
      <c r="L86" s="7">
        <f t="shared" si="35"/>
        <v>0</v>
      </c>
      <c r="M86" s="7">
        <f t="shared" si="35"/>
        <v>0</v>
      </c>
    </row>
    <row r="87" spans="1:13" x14ac:dyDescent="0.3">
      <c r="A87" s="5" t="s">
        <v>289</v>
      </c>
      <c r="B87" s="7">
        <f>0</f>
        <v>0</v>
      </c>
      <c r="C87" s="7">
        <f t="shared" si="35"/>
        <v>0</v>
      </c>
      <c r="D87" s="7">
        <f t="shared" si="35"/>
        <v>0</v>
      </c>
      <c r="E87" s="7">
        <f t="shared" si="35"/>
        <v>0</v>
      </c>
      <c r="F87" s="7">
        <f t="shared" si="35"/>
        <v>0</v>
      </c>
      <c r="G87" s="7">
        <f t="shared" si="35"/>
        <v>0</v>
      </c>
      <c r="H87" s="7">
        <f t="shared" si="35"/>
        <v>0</v>
      </c>
      <c r="I87" s="7">
        <f t="shared" si="35"/>
        <v>0</v>
      </c>
      <c r="J87" s="7">
        <f t="shared" si="35"/>
        <v>0</v>
      </c>
      <c r="K87" s="7">
        <f t="shared" si="35"/>
        <v>0</v>
      </c>
      <c r="L87" s="7">
        <f t="shared" si="35"/>
        <v>0</v>
      </c>
      <c r="M87" s="7">
        <f t="shared" si="35"/>
        <v>0</v>
      </c>
    </row>
    <row r="88" spans="1:13" x14ac:dyDescent="0.3">
      <c r="A88" s="5" t="s">
        <v>288</v>
      </c>
      <c r="B88" s="8">
        <f t="shared" ref="B88:M88" si="36">(B86)+(B87)</f>
        <v>0</v>
      </c>
      <c r="C88" s="8">
        <f t="shared" si="36"/>
        <v>0</v>
      </c>
      <c r="D88" s="8">
        <f t="shared" si="36"/>
        <v>0</v>
      </c>
      <c r="E88" s="8">
        <f t="shared" si="36"/>
        <v>0</v>
      </c>
      <c r="F88" s="8">
        <f t="shared" si="36"/>
        <v>0</v>
      </c>
      <c r="G88" s="8">
        <f t="shared" si="36"/>
        <v>0</v>
      </c>
      <c r="H88" s="8">
        <f t="shared" si="36"/>
        <v>0</v>
      </c>
      <c r="I88" s="8">
        <f t="shared" si="36"/>
        <v>0</v>
      </c>
      <c r="J88" s="8">
        <f t="shared" si="36"/>
        <v>0</v>
      </c>
      <c r="K88" s="8">
        <f t="shared" si="36"/>
        <v>0</v>
      </c>
      <c r="L88" s="8">
        <f t="shared" si="36"/>
        <v>0</v>
      </c>
      <c r="M88" s="8">
        <f t="shared" si="36"/>
        <v>0</v>
      </c>
    </row>
    <row r="89" spans="1:13" x14ac:dyDescent="0.3">
      <c r="A89" s="5" t="s">
        <v>287</v>
      </c>
      <c r="B89" s="7">
        <f>0</f>
        <v>0</v>
      </c>
      <c r="C89" s="7">
        <f t="shared" ref="C89:M90" si="37">B89</f>
        <v>0</v>
      </c>
      <c r="D89" s="7">
        <f t="shared" si="37"/>
        <v>0</v>
      </c>
      <c r="E89" s="7">
        <f t="shared" si="37"/>
        <v>0</v>
      </c>
      <c r="F89" s="7">
        <f t="shared" si="37"/>
        <v>0</v>
      </c>
      <c r="G89" s="7">
        <f t="shared" si="37"/>
        <v>0</v>
      </c>
      <c r="H89" s="7">
        <f t="shared" si="37"/>
        <v>0</v>
      </c>
      <c r="I89" s="7">
        <f t="shared" si="37"/>
        <v>0</v>
      </c>
      <c r="J89" s="7">
        <f t="shared" si="37"/>
        <v>0</v>
      </c>
      <c r="K89" s="7">
        <f t="shared" si="37"/>
        <v>0</v>
      </c>
      <c r="L89" s="7">
        <f t="shared" si="37"/>
        <v>0</v>
      </c>
      <c r="M89" s="7">
        <f t="shared" si="37"/>
        <v>0</v>
      </c>
    </row>
    <row r="90" spans="1:13" x14ac:dyDescent="0.3">
      <c r="A90" s="5" t="s">
        <v>286</v>
      </c>
      <c r="B90" s="7">
        <f>0</f>
        <v>0</v>
      </c>
      <c r="C90" s="7">
        <f t="shared" si="37"/>
        <v>0</v>
      </c>
      <c r="D90" s="7">
        <f t="shared" si="37"/>
        <v>0</v>
      </c>
      <c r="E90" s="7">
        <f t="shared" si="37"/>
        <v>0</v>
      </c>
      <c r="F90" s="7">
        <f t="shared" si="37"/>
        <v>0</v>
      </c>
      <c r="G90" s="7">
        <f t="shared" si="37"/>
        <v>0</v>
      </c>
      <c r="H90" s="7">
        <f t="shared" si="37"/>
        <v>0</v>
      </c>
      <c r="I90" s="7">
        <f t="shared" si="37"/>
        <v>0</v>
      </c>
      <c r="J90" s="7">
        <f t="shared" si="37"/>
        <v>0</v>
      </c>
      <c r="K90" s="7">
        <f t="shared" si="37"/>
        <v>0</v>
      </c>
      <c r="L90" s="7">
        <f t="shared" si="37"/>
        <v>0</v>
      </c>
      <c r="M90" s="7">
        <f t="shared" si="37"/>
        <v>0</v>
      </c>
    </row>
    <row r="91" spans="1:13" x14ac:dyDescent="0.3">
      <c r="A91" s="5" t="s">
        <v>285</v>
      </c>
      <c r="B91" s="8">
        <f t="shared" ref="B91:M91" si="38">(B89)+(B90)</f>
        <v>0</v>
      </c>
      <c r="C91" s="8">
        <f t="shared" si="38"/>
        <v>0</v>
      </c>
      <c r="D91" s="8">
        <f t="shared" si="38"/>
        <v>0</v>
      </c>
      <c r="E91" s="8">
        <f t="shared" si="38"/>
        <v>0</v>
      </c>
      <c r="F91" s="8">
        <f t="shared" si="38"/>
        <v>0</v>
      </c>
      <c r="G91" s="8">
        <f t="shared" si="38"/>
        <v>0</v>
      </c>
      <c r="H91" s="8">
        <f t="shared" si="38"/>
        <v>0</v>
      </c>
      <c r="I91" s="8">
        <f t="shared" si="38"/>
        <v>0</v>
      </c>
      <c r="J91" s="8">
        <f t="shared" si="38"/>
        <v>0</v>
      </c>
      <c r="K91" s="8">
        <f t="shared" si="38"/>
        <v>0</v>
      </c>
      <c r="L91" s="8">
        <f t="shared" si="38"/>
        <v>0</v>
      </c>
      <c r="M91" s="8">
        <f t="shared" si="38"/>
        <v>0</v>
      </c>
    </row>
    <row r="92" spans="1:13" x14ac:dyDescent="0.3">
      <c r="A92" s="5" t="s">
        <v>284</v>
      </c>
      <c r="B92" s="8">
        <f t="shared" ref="B92:M92" si="39">(((B82)+(B85))+(B88))+(B91)</f>
        <v>0</v>
      </c>
      <c r="C92" s="8">
        <f t="shared" si="39"/>
        <v>0</v>
      </c>
      <c r="D92" s="8">
        <f t="shared" si="39"/>
        <v>0</v>
      </c>
      <c r="E92" s="8">
        <f t="shared" si="39"/>
        <v>0</v>
      </c>
      <c r="F92" s="8">
        <f t="shared" si="39"/>
        <v>0</v>
      </c>
      <c r="G92" s="8">
        <f t="shared" si="39"/>
        <v>0</v>
      </c>
      <c r="H92" s="8">
        <f t="shared" si="39"/>
        <v>0</v>
      </c>
      <c r="I92" s="8">
        <f t="shared" si="39"/>
        <v>0</v>
      </c>
      <c r="J92" s="8">
        <f t="shared" si="39"/>
        <v>0</v>
      </c>
      <c r="K92" s="8">
        <f t="shared" si="39"/>
        <v>0</v>
      </c>
      <c r="L92" s="8">
        <f t="shared" si="39"/>
        <v>0</v>
      </c>
      <c r="M92" s="8">
        <f t="shared" si="39"/>
        <v>0</v>
      </c>
    </row>
    <row r="93" spans="1:13" x14ac:dyDescent="0.3">
      <c r="A93" s="5" t="s">
        <v>283</v>
      </c>
      <c r="B93" s="8">
        <f t="shared" ref="B93:M93" si="40">B92</f>
        <v>0</v>
      </c>
      <c r="C93" s="8">
        <f t="shared" si="40"/>
        <v>0</v>
      </c>
      <c r="D93" s="8">
        <f t="shared" si="40"/>
        <v>0</v>
      </c>
      <c r="E93" s="8">
        <f t="shared" si="40"/>
        <v>0</v>
      </c>
      <c r="F93" s="8">
        <f t="shared" si="40"/>
        <v>0</v>
      </c>
      <c r="G93" s="8">
        <f t="shared" si="40"/>
        <v>0</v>
      </c>
      <c r="H93" s="8">
        <f t="shared" si="40"/>
        <v>0</v>
      </c>
      <c r="I93" s="8">
        <f t="shared" si="40"/>
        <v>0</v>
      </c>
      <c r="J93" s="8">
        <f t="shared" si="40"/>
        <v>0</v>
      </c>
      <c r="K93" s="8">
        <f t="shared" si="40"/>
        <v>0</v>
      </c>
      <c r="L93" s="8">
        <f t="shared" si="40"/>
        <v>0</v>
      </c>
      <c r="M93" s="8">
        <f t="shared" si="40"/>
        <v>0</v>
      </c>
    </row>
    <row r="94" spans="1:13" x14ac:dyDescent="0.3">
      <c r="A94" s="5" t="s">
        <v>282</v>
      </c>
      <c r="B94" s="8">
        <f t="shared" ref="B94:M94" si="41">(B80)+(B93)</f>
        <v>1263319.3299999998</v>
      </c>
      <c r="C94" s="8">
        <f t="shared" si="41"/>
        <v>1297647.2</v>
      </c>
      <c r="D94" s="8">
        <f t="shared" si="41"/>
        <v>1285324.29</v>
      </c>
      <c r="E94" s="8">
        <f t="shared" si="41"/>
        <v>1215884.6300000001</v>
      </c>
      <c r="F94" s="8">
        <f t="shared" si="41"/>
        <v>1056937.95</v>
      </c>
      <c r="G94" s="8">
        <f t="shared" si="41"/>
        <v>1007631.24</v>
      </c>
      <c r="H94" s="8">
        <f t="shared" si="41"/>
        <v>947580.01</v>
      </c>
      <c r="I94" s="8">
        <f t="shared" si="41"/>
        <v>1016983.0700000001</v>
      </c>
      <c r="J94" s="8">
        <f t="shared" si="41"/>
        <v>1151734.2800000003</v>
      </c>
      <c r="K94" s="8">
        <f t="shared" si="41"/>
        <v>941399.53000000014</v>
      </c>
      <c r="L94" s="8">
        <f t="shared" si="41"/>
        <v>1092474.6599999999</v>
      </c>
      <c r="M94" s="8">
        <f t="shared" si="41"/>
        <v>1377597.9000000001</v>
      </c>
    </row>
    <row r="95" spans="1:13" x14ac:dyDescent="0.3">
      <c r="A95" s="5" t="s">
        <v>281</v>
      </c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</row>
    <row r="96" spans="1:13" x14ac:dyDescent="0.3">
      <c r="A96" s="5" t="s">
        <v>280</v>
      </c>
      <c r="B96" s="7">
        <f>5000</f>
        <v>5000</v>
      </c>
      <c r="C96" s="7">
        <f t="shared" ref="C96:M101" si="42">B96</f>
        <v>5000</v>
      </c>
      <c r="D96" s="7">
        <f t="shared" si="42"/>
        <v>5000</v>
      </c>
      <c r="E96" s="7">
        <f t="shared" si="42"/>
        <v>5000</v>
      </c>
      <c r="F96" s="7">
        <f t="shared" si="42"/>
        <v>5000</v>
      </c>
      <c r="G96" s="7">
        <f t="shared" si="42"/>
        <v>5000</v>
      </c>
      <c r="H96" s="7">
        <f t="shared" si="42"/>
        <v>5000</v>
      </c>
      <c r="I96" s="7">
        <f t="shared" si="42"/>
        <v>5000</v>
      </c>
      <c r="J96" s="7">
        <f t="shared" si="42"/>
        <v>5000</v>
      </c>
      <c r="K96" s="7">
        <f t="shared" si="42"/>
        <v>5000</v>
      </c>
      <c r="L96" s="7">
        <f t="shared" si="42"/>
        <v>5000</v>
      </c>
      <c r="M96" s="7">
        <f t="shared" si="42"/>
        <v>5000</v>
      </c>
    </row>
    <row r="97" spans="1:13" x14ac:dyDescent="0.3">
      <c r="A97" s="5" t="s">
        <v>380</v>
      </c>
      <c r="B97" s="7">
        <f>2533.88</f>
        <v>2533.88</v>
      </c>
      <c r="C97" s="7">
        <f>2533.88</f>
        <v>2533.88</v>
      </c>
      <c r="D97" s="7">
        <f t="shared" si="42"/>
        <v>2533.88</v>
      </c>
      <c r="E97" s="7">
        <f t="shared" si="42"/>
        <v>2533.88</v>
      </c>
      <c r="F97" s="7">
        <f t="shared" si="42"/>
        <v>2533.88</v>
      </c>
      <c r="G97" s="7">
        <f t="shared" si="42"/>
        <v>2533.88</v>
      </c>
      <c r="H97" s="7">
        <f>2533.88</f>
        <v>2533.88</v>
      </c>
      <c r="I97" s="7">
        <f t="shared" si="42"/>
        <v>2533.88</v>
      </c>
      <c r="J97" s="7">
        <f t="shared" si="42"/>
        <v>2533.88</v>
      </c>
      <c r="K97" s="7">
        <f t="shared" si="42"/>
        <v>2533.88</v>
      </c>
      <c r="L97" s="7">
        <f t="shared" si="42"/>
        <v>2533.88</v>
      </c>
      <c r="M97" s="7">
        <f t="shared" si="42"/>
        <v>2533.88</v>
      </c>
    </row>
    <row r="98" spans="1:13" x14ac:dyDescent="0.3">
      <c r="A98" s="5" t="s">
        <v>279</v>
      </c>
      <c r="B98" s="6"/>
      <c r="C98" s="7">
        <f>B98</f>
        <v>0</v>
      </c>
      <c r="D98" s="7">
        <f t="shared" si="42"/>
        <v>0</v>
      </c>
      <c r="E98" s="7">
        <f t="shared" si="42"/>
        <v>0</v>
      </c>
      <c r="F98" s="7">
        <f t="shared" si="42"/>
        <v>0</v>
      </c>
      <c r="G98" s="7">
        <f t="shared" si="42"/>
        <v>0</v>
      </c>
      <c r="H98" s="7">
        <f>G98</f>
        <v>0</v>
      </c>
      <c r="I98" s="7">
        <f t="shared" si="42"/>
        <v>0</v>
      </c>
      <c r="J98" s="7">
        <f t="shared" si="42"/>
        <v>0</v>
      </c>
      <c r="K98" s="7">
        <f t="shared" si="42"/>
        <v>0</v>
      </c>
      <c r="L98" s="7">
        <f t="shared" si="42"/>
        <v>0</v>
      </c>
      <c r="M98" s="7">
        <f t="shared" si="42"/>
        <v>0</v>
      </c>
    </row>
    <row r="99" spans="1:13" x14ac:dyDescent="0.3">
      <c r="A99" s="5" t="s">
        <v>278</v>
      </c>
      <c r="B99" s="6"/>
      <c r="C99" s="7">
        <f>B99</f>
        <v>0</v>
      </c>
      <c r="D99" s="7">
        <f t="shared" si="42"/>
        <v>0</v>
      </c>
      <c r="E99" s="7">
        <f t="shared" si="42"/>
        <v>0</v>
      </c>
      <c r="F99" s="7">
        <f t="shared" si="42"/>
        <v>0</v>
      </c>
      <c r="G99" s="7">
        <f t="shared" si="42"/>
        <v>0</v>
      </c>
      <c r="H99" s="7">
        <f>G99</f>
        <v>0</v>
      </c>
      <c r="I99" s="7">
        <f t="shared" si="42"/>
        <v>0</v>
      </c>
      <c r="J99" s="7">
        <f t="shared" si="42"/>
        <v>0</v>
      </c>
      <c r="K99" s="7">
        <f t="shared" si="42"/>
        <v>0</v>
      </c>
      <c r="L99" s="7">
        <f t="shared" si="42"/>
        <v>0</v>
      </c>
      <c r="M99" s="7">
        <f t="shared" si="42"/>
        <v>0</v>
      </c>
    </row>
    <row r="100" spans="1:13" x14ac:dyDescent="0.3">
      <c r="A100" s="5" t="s">
        <v>277</v>
      </c>
      <c r="B100" s="7">
        <f>0</f>
        <v>0</v>
      </c>
      <c r="C100" s="7">
        <f>B100</f>
        <v>0</v>
      </c>
      <c r="D100" s="7">
        <f t="shared" si="42"/>
        <v>0</v>
      </c>
      <c r="E100" s="7">
        <f t="shared" si="42"/>
        <v>0</v>
      </c>
      <c r="F100" s="7">
        <f t="shared" si="42"/>
        <v>0</v>
      </c>
      <c r="G100" s="7">
        <f t="shared" si="42"/>
        <v>0</v>
      </c>
      <c r="H100" s="7">
        <f>G100</f>
        <v>0</v>
      </c>
      <c r="I100" s="7">
        <f t="shared" si="42"/>
        <v>0</v>
      </c>
      <c r="J100" s="7">
        <f t="shared" si="42"/>
        <v>0</v>
      </c>
      <c r="K100" s="7">
        <f t="shared" si="42"/>
        <v>0</v>
      </c>
      <c r="L100" s="7">
        <f t="shared" si="42"/>
        <v>0</v>
      </c>
      <c r="M100" s="7">
        <f t="shared" si="42"/>
        <v>0</v>
      </c>
    </row>
    <row r="101" spans="1:13" x14ac:dyDescent="0.3">
      <c r="A101" s="5" t="s">
        <v>276</v>
      </c>
      <c r="B101" s="7">
        <f>0</f>
        <v>0</v>
      </c>
      <c r="C101" s="7">
        <f>B101</f>
        <v>0</v>
      </c>
      <c r="D101" s="7">
        <f t="shared" si="42"/>
        <v>0</v>
      </c>
      <c r="E101" s="7">
        <f t="shared" si="42"/>
        <v>0</v>
      </c>
      <c r="F101" s="7">
        <f t="shared" si="42"/>
        <v>0</v>
      </c>
      <c r="G101" s="7">
        <f t="shared" si="42"/>
        <v>0</v>
      </c>
      <c r="H101" s="7">
        <f>G101</f>
        <v>0</v>
      </c>
      <c r="I101" s="7">
        <f t="shared" si="42"/>
        <v>0</v>
      </c>
      <c r="J101" s="7">
        <f t="shared" si="42"/>
        <v>0</v>
      </c>
      <c r="K101" s="7">
        <f t="shared" si="42"/>
        <v>0</v>
      </c>
      <c r="L101" s="7">
        <f t="shared" si="42"/>
        <v>0</v>
      </c>
      <c r="M101" s="7">
        <f t="shared" si="42"/>
        <v>0</v>
      </c>
    </row>
    <row r="102" spans="1:13" x14ac:dyDescent="0.3">
      <c r="A102" s="5" t="s">
        <v>275</v>
      </c>
      <c r="B102" s="8">
        <f t="shared" ref="B102:M102" si="43">((B99)+(B100))+(B101)</f>
        <v>0</v>
      </c>
      <c r="C102" s="8">
        <f t="shared" si="43"/>
        <v>0</v>
      </c>
      <c r="D102" s="8">
        <f t="shared" si="43"/>
        <v>0</v>
      </c>
      <c r="E102" s="8">
        <f t="shared" si="43"/>
        <v>0</v>
      </c>
      <c r="F102" s="8">
        <f t="shared" si="43"/>
        <v>0</v>
      </c>
      <c r="G102" s="8">
        <f t="shared" si="43"/>
        <v>0</v>
      </c>
      <c r="H102" s="8">
        <f t="shared" si="43"/>
        <v>0</v>
      </c>
      <c r="I102" s="8">
        <f t="shared" si="43"/>
        <v>0</v>
      </c>
      <c r="J102" s="8">
        <f t="shared" si="43"/>
        <v>0</v>
      </c>
      <c r="K102" s="8">
        <f t="shared" si="43"/>
        <v>0</v>
      </c>
      <c r="L102" s="8">
        <f t="shared" si="43"/>
        <v>0</v>
      </c>
      <c r="M102" s="8">
        <f t="shared" si="43"/>
        <v>0</v>
      </c>
    </row>
    <row r="103" spans="1:13" x14ac:dyDescent="0.3">
      <c r="A103" s="5" t="s">
        <v>274</v>
      </c>
      <c r="B103" s="6"/>
      <c r="C103" s="7">
        <f t="shared" ref="C103:M104" si="44">B103</f>
        <v>0</v>
      </c>
      <c r="D103" s="7">
        <f t="shared" si="44"/>
        <v>0</v>
      </c>
      <c r="E103" s="7">
        <f t="shared" si="44"/>
        <v>0</v>
      </c>
      <c r="F103" s="7">
        <f t="shared" si="44"/>
        <v>0</v>
      </c>
      <c r="G103" s="7">
        <f t="shared" si="44"/>
        <v>0</v>
      </c>
      <c r="H103" s="7">
        <f t="shared" si="44"/>
        <v>0</v>
      </c>
      <c r="I103" s="7">
        <f t="shared" si="44"/>
        <v>0</v>
      </c>
      <c r="J103" s="7">
        <f t="shared" si="44"/>
        <v>0</v>
      </c>
      <c r="K103" s="7">
        <f t="shared" si="44"/>
        <v>0</v>
      </c>
      <c r="L103" s="7">
        <f t="shared" si="44"/>
        <v>0</v>
      </c>
      <c r="M103" s="7">
        <f t="shared" si="44"/>
        <v>0</v>
      </c>
    </row>
    <row r="104" spans="1:13" x14ac:dyDescent="0.3">
      <c r="A104" s="5" t="s">
        <v>273</v>
      </c>
      <c r="B104" s="7">
        <f>0</f>
        <v>0</v>
      </c>
      <c r="C104" s="7">
        <f t="shared" si="44"/>
        <v>0</v>
      </c>
      <c r="D104" s="7">
        <f t="shared" si="44"/>
        <v>0</v>
      </c>
      <c r="E104" s="7">
        <f t="shared" si="44"/>
        <v>0</v>
      </c>
      <c r="F104" s="7">
        <f t="shared" si="44"/>
        <v>0</v>
      </c>
      <c r="G104" s="7">
        <f t="shared" si="44"/>
        <v>0</v>
      </c>
      <c r="H104" s="7">
        <f t="shared" si="44"/>
        <v>0</v>
      </c>
      <c r="I104" s="7">
        <f t="shared" si="44"/>
        <v>0</v>
      </c>
      <c r="J104" s="7">
        <f t="shared" si="44"/>
        <v>0</v>
      </c>
      <c r="K104" s="7">
        <f t="shared" si="44"/>
        <v>0</v>
      </c>
      <c r="L104" s="7">
        <f t="shared" si="44"/>
        <v>0</v>
      </c>
      <c r="M104" s="7">
        <f t="shared" si="44"/>
        <v>0</v>
      </c>
    </row>
    <row r="105" spans="1:13" x14ac:dyDescent="0.3">
      <c r="A105" s="5" t="s">
        <v>272</v>
      </c>
      <c r="B105" s="8">
        <f t="shared" ref="B105:M105" si="45">(B103)+(B104)</f>
        <v>0</v>
      </c>
      <c r="C105" s="8">
        <f t="shared" si="45"/>
        <v>0</v>
      </c>
      <c r="D105" s="8">
        <f t="shared" si="45"/>
        <v>0</v>
      </c>
      <c r="E105" s="8">
        <f t="shared" si="45"/>
        <v>0</v>
      </c>
      <c r="F105" s="8">
        <f t="shared" si="45"/>
        <v>0</v>
      </c>
      <c r="G105" s="8">
        <f t="shared" si="45"/>
        <v>0</v>
      </c>
      <c r="H105" s="8">
        <f t="shared" si="45"/>
        <v>0</v>
      </c>
      <c r="I105" s="8">
        <f t="shared" si="45"/>
        <v>0</v>
      </c>
      <c r="J105" s="8">
        <f t="shared" si="45"/>
        <v>0</v>
      </c>
      <c r="K105" s="8">
        <f t="shared" si="45"/>
        <v>0</v>
      </c>
      <c r="L105" s="8">
        <f t="shared" si="45"/>
        <v>0</v>
      </c>
      <c r="M105" s="8">
        <f t="shared" si="45"/>
        <v>0</v>
      </c>
    </row>
    <row r="106" spans="1:13" x14ac:dyDescent="0.3">
      <c r="A106" s="5" t="s">
        <v>271</v>
      </c>
      <c r="B106" s="8">
        <f t="shared" ref="B106:M106" si="46">((B98)+(B102))+(B105)</f>
        <v>0</v>
      </c>
      <c r="C106" s="8">
        <f t="shared" si="46"/>
        <v>0</v>
      </c>
      <c r="D106" s="8">
        <f t="shared" si="46"/>
        <v>0</v>
      </c>
      <c r="E106" s="8">
        <f t="shared" si="46"/>
        <v>0</v>
      </c>
      <c r="F106" s="8">
        <f t="shared" si="46"/>
        <v>0</v>
      </c>
      <c r="G106" s="8">
        <f t="shared" si="46"/>
        <v>0</v>
      </c>
      <c r="H106" s="8">
        <f t="shared" si="46"/>
        <v>0</v>
      </c>
      <c r="I106" s="8">
        <f t="shared" si="46"/>
        <v>0</v>
      </c>
      <c r="J106" s="8">
        <f t="shared" si="46"/>
        <v>0</v>
      </c>
      <c r="K106" s="8">
        <f t="shared" si="46"/>
        <v>0</v>
      </c>
      <c r="L106" s="8">
        <f t="shared" si="46"/>
        <v>0</v>
      </c>
      <c r="M106" s="8">
        <f t="shared" si="46"/>
        <v>0</v>
      </c>
    </row>
    <row r="107" spans="1:13" x14ac:dyDescent="0.3">
      <c r="A107" s="5" t="s">
        <v>270</v>
      </c>
      <c r="B107" s="7">
        <f>-1235387.94</f>
        <v>-1235387.94</v>
      </c>
      <c r="C107" s="7">
        <f t="shared" ref="C107:M111" si="47">B107</f>
        <v>-1235387.94</v>
      </c>
      <c r="D107" s="7">
        <f t="shared" si="47"/>
        <v>-1235387.94</v>
      </c>
      <c r="E107" s="7">
        <f t="shared" si="47"/>
        <v>-1235387.94</v>
      </c>
      <c r="F107" s="7">
        <f t="shared" si="47"/>
        <v>-1235387.94</v>
      </c>
      <c r="G107" s="7">
        <f t="shared" si="47"/>
        <v>-1235387.94</v>
      </c>
      <c r="H107" s="7">
        <f t="shared" si="47"/>
        <v>-1235387.94</v>
      </c>
      <c r="I107" s="7">
        <f t="shared" si="47"/>
        <v>-1235387.94</v>
      </c>
      <c r="J107" s="7">
        <f t="shared" si="47"/>
        <v>-1235387.94</v>
      </c>
      <c r="K107" s="7">
        <f t="shared" si="47"/>
        <v>-1235387.94</v>
      </c>
      <c r="L107" s="7">
        <f t="shared" si="47"/>
        <v>-1235387.94</v>
      </c>
      <c r="M107" s="7">
        <f t="shared" si="47"/>
        <v>-1235387.94</v>
      </c>
    </row>
    <row r="108" spans="1:13" x14ac:dyDescent="0.3">
      <c r="A108" s="5" t="s">
        <v>269</v>
      </c>
      <c r="B108" s="7">
        <f>56315.07</f>
        <v>56315.07</v>
      </c>
      <c r="C108" s="7">
        <f t="shared" si="47"/>
        <v>56315.07</v>
      </c>
      <c r="D108" s="7">
        <f t="shared" si="47"/>
        <v>56315.07</v>
      </c>
      <c r="E108" s="7">
        <f t="shared" si="47"/>
        <v>56315.07</v>
      </c>
      <c r="F108" s="7">
        <f t="shared" si="47"/>
        <v>56315.07</v>
      </c>
      <c r="G108" s="7">
        <f t="shared" si="47"/>
        <v>56315.07</v>
      </c>
      <c r="H108" s="7">
        <f t="shared" si="47"/>
        <v>56315.07</v>
      </c>
      <c r="I108" s="7">
        <f t="shared" si="47"/>
        <v>56315.07</v>
      </c>
      <c r="J108" s="7">
        <f t="shared" si="47"/>
        <v>56315.07</v>
      </c>
      <c r="K108" s="7">
        <f t="shared" si="47"/>
        <v>56315.07</v>
      </c>
      <c r="L108" s="7">
        <f t="shared" si="47"/>
        <v>56315.07</v>
      </c>
      <c r="M108" s="7">
        <f t="shared" si="47"/>
        <v>56315.07</v>
      </c>
    </row>
    <row r="109" spans="1:13" x14ac:dyDescent="0.3">
      <c r="A109" s="5" t="s">
        <v>268</v>
      </c>
      <c r="B109" s="7">
        <f>73649.32</f>
        <v>73649.320000000007</v>
      </c>
      <c r="C109" s="7">
        <f t="shared" si="47"/>
        <v>73649.320000000007</v>
      </c>
      <c r="D109" s="7">
        <f t="shared" si="47"/>
        <v>73649.320000000007</v>
      </c>
      <c r="E109" s="7">
        <f t="shared" si="47"/>
        <v>73649.320000000007</v>
      </c>
      <c r="F109" s="7">
        <f t="shared" si="47"/>
        <v>73649.320000000007</v>
      </c>
      <c r="G109" s="7">
        <f t="shared" si="47"/>
        <v>73649.320000000007</v>
      </c>
      <c r="H109" s="7">
        <f t="shared" si="47"/>
        <v>73649.320000000007</v>
      </c>
      <c r="I109" s="7">
        <f t="shared" si="47"/>
        <v>73649.320000000007</v>
      </c>
      <c r="J109" s="7">
        <f t="shared" si="47"/>
        <v>73649.320000000007</v>
      </c>
      <c r="K109" s="7">
        <f t="shared" si="47"/>
        <v>73649.320000000007</v>
      </c>
      <c r="L109" s="7">
        <f t="shared" si="47"/>
        <v>73649.320000000007</v>
      </c>
      <c r="M109" s="7">
        <f t="shared" si="47"/>
        <v>73649.320000000007</v>
      </c>
    </row>
    <row r="110" spans="1:13" x14ac:dyDescent="0.3">
      <c r="A110" s="5" t="s">
        <v>267</v>
      </c>
      <c r="B110" s="7">
        <f>165139.95</f>
        <v>165139.95000000001</v>
      </c>
      <c r="C110" s="7">
        <f t="shared" si="47"/>
        <v>165139.95000000001</v>
      </c>
      <c r="D110" s="7">
        <f t="shared" si="47"/>
        <v>165139.95000000001</v>
      </c>
      <c r="E110" s="7">
        <f t="shared" si="47"/>
        <v>165139.95000000001</v>
      </c>
      <c r="F110" s="7">
        <f t="shared" si="47"/>
        <v>165139.95000000001</v>
      </c>
      <c r="G110" s="7">
        <f t="shared" si="47"/>
        <v>165139.95000000001</v>
      </c>
      <c r="H110" s="7">
        <f t="shared" si="47"/>
        <v>165139.95000000001</v>
      </c>
      <c r="I110" s="7">
        <f t="shared" si="47"/>
        <v>165139.95000000001</v>
      </c>
      <c r="J110" s="7">
        <f t="shared" si="47"/>
        <v>165139.95000000001</v>
      </c>
      <c r="K110" s="7">
        <f t="shared" si="47"/>
        <v>165139.95000000001</v>
      </c>
      <c r="L110" s="7">
        <f t="shared" si="47"/>
        <v>165139.95000000001</v>
      </c>
      <c r="M110" s="7">
        <f t="shared" si="47"/>
        <v>165139.95000000001</v>
      </c>
    </row>
    <row r="111" spans="1:13" x14ac:dyDescent="0.3">
      <c r="A111" s="5" t="s">
        <v>266</v>
      </c>
      <c r="B111" s="7">
        <f>1471521.94</f>
        <v>1471521.94</v>
      </c>
      <c r="C111" s="7">
        <f t="shared" si="47"/>
        <v>1471521.94</v>
      </c>
      <c r="D111" s="7">
        <f t="shared" si="47"/>
        <v>1471521.94</v>
      </c>
      <c r="E111" s="7">
        <f t="shared" si="47"/>
        <v>1471521.94</v>
      </c>
      <c r="F111" s="7">
        <f t="shared" si="47"/>
        <v>1471521.94</v>
      </c>
      <c r="G111" s="7">
        <f t="shared" si="47"/>
        <v>1471521.94</v>
      </c>
      <c r="H111" s="7">
        <f t="shared" si="47"/>
        <v>1471521.94</v>
      </c>
      <c r="I111" s="7">
        <f t="shared" si="47"/>
        <v>1471521.94</v>
      </c>
      <c r="J111" s="7">
        <f t="shared" si="47"/>
        <v>1471521.94</v>
      </c>
      <c r="K111" s="7">
        <f t="shared" si="47"/>
        <v>1471521.94</v>
      </c>
      <c r="L111" s="7">
        <f t="shared" si="47"/>
        <v>1471521.94</v>
      </c>
      <c r="M111" s="7">
        <f t="shared" si="47"/>
        <v>1471521.94</v>
      </c>
    </row>
    <row r="112" spans="1:13" x14ac:dyDescent="0.3">
      <c r="A112" s="5" t="s">
        <v>265</v>
      </c>
      <c r="B112" s="7">
        <f>105667.19</f>
        <v>105667.19</v>
      </c>
      <c r="C112" s="7">
        <f>110478.97</f>
        <v>110478.97</v>
      </c>
      <c r="D112" s="7">
        <f>163968.61</f>
        <v>163968.60999999999</v>
      </c>
      <c r="E112" s="7">
        <f>178371.71</f>
        <v>178371.71</v>
      </c>
      <c r="F112" s="7">
        <f>334990.93</f>
        <v>334990.93</v>
      </c>
      <c r="G112" s="7">
        <f>271533.48</f>
        <v>271533.48</v>
      </c>
      <c r="H112" s="7">
        <f>397625.35</f>
        <v>397625.35</v>
      </c>
      <c r="I112" s="7">
        <f>319725.1</f>
        <v>319725.09999999998</v>
      </c>
      <c r="J112" s="7">
        <f>108430.42</f>
        <v>108430.42</v>
      </c>
      <c r="K112" s="7">
        <f>313385.78</f>
        <v>313385.78000000003</v>
      </c>
      <c r="L112" s="7">
        <f>41561.97</f>
        <v>41561.97</v>
      </c>
      <c r="M112" s="7">
        <f>-136485.31</f>
        <v>-136485.31</v>
      </c>
    </row>
    <row r="113" spans="1:13" x14ac:dyDescent="0.3">
      <c r="A113" s="5" t="s">
        <v>264</v>
      </c>
      <c r="B113" s="8">
        <f t="shared" ref="B113:M113" si="48">((((((((B96)+(B97))+(B106))+(B107))+(B108))+(B109))+(B110))+(B111))+(B112)</f>
        <v>644439.40999999992</v>
      </c>
      <c r="C113" s="8">
        <f t="shared" si="48"/>
        <v>649251.18999999994</v>
      </c>
      <c r="D113" s="8">
        <f t="shared" si="48"/>
        <v>702740.83</v>
      </c>
      <c r="E113" s="8">
        <f t="shared" si="48"/>
        <v>717143.92999999993</v>
      </c>
      <c r="F113" s="8">
        <f t="shared" si="48"/>
        <v>873763.14999999991</v>
      </c>
      <c r="G113" s="8">
        <f t="shared" si="48"/>
        <v>810305.7</v>
      </c>
      <c r="H113" s="8">
        <f t="shared" si="48"/>
        <v>936397.57</v>
      </c>
      <c r="I113" s="8">
        <f t="shared" si="48"/>
        <v>858497.32</v>
      </c>
      <c r="J113" s="8">
        <f t="shared" si="48"/>
        <v>647202.64</v>
      </c>
      <c r="K113" s="8">
        <f t="shared" si="48"/>
        <v>852158</v>
      </c>
      <c r="L113" s="8">
        <f t="shared" si="48"/>
        <v>580334.18999999994</v>
      </c>
      <c r="M113" s="8">
        <f t="shared" si="48"/>
        <v>402286.91</v>
      </c>
    </row>
    <row r="114" spans="1:13" x14ac:dyDescent="0.3">
      <c r="A114" s="5" t="s">
        <v>263</v>
      </c>
      <c r="B114" s="8">
        <f t="shared" ref="B114:M114" si="49">(B94)+(B113)</f>
        <v>1907758.7399999998</v>
      </c>
      <c r="C114" s="8">
        <f t="shared" si="49"/>
        <v>1946898.39</v>
      </c>
      <c r="D114" s="8">
        <f t="shared" si="49"/>
        <v>1988065.12</v>
      </c>
      <c r="E114" s="8">
        <f t="shared" si="49"/>
        <v>1933028.56</v>
      </c>
      <c r="F114" s="8">
        <f t="shared" si="49"/>
        <v>1930701.0999999999</v>
      </c>
      <c r="G114" s="8">
        <f t="shared" si="49"/>
        <v>1817936.94</v>
      </c>
      <c r="H114" s="8">
        <f t="shared" si="49"/>
        <v>1883977.58</v>
      </c>
      <c r="I114" s="8">
        <f t="shared" si="49"/>
        <v>1875480.3900000001</v>
      </c>
      <c r="J114" s="8">
        <f t="shared" si="49"/>
        <v>1798936.9200000004</v>
      </c>
      <c r="K114" s="8">
        <f t="shared" si="49"/>
        <v>1793557.5300000003</v>
      </c>
      <c r="L114" s="8">
        <f t="shared" si="49"/>
        <v>1672808.8499999999</v>
      </c>
      <c r="M114" s="8">
        <f t="shared" si="49"/>
        <v>1779884.81</v>
      </c>
    </row>
    <row r="115" spans="1:13" x14ac:dyDescent="0.3">
      <c r="A115" s="5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</row>
    <row r="118" spans="1:13" x14ac:dyDescent="0.3">
      <c r="A118" s="12" t="s">
        <v>381</v>
      </c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3" tint="0.79998168889431442"/>
  </sheetPr>
  <dimension ref="A1:M106"/>
  <sheetViews>
    <sheetView workbookViewId="0"/>
  </sheetViews>
  <sheetFormatPr defaultColWidth="9" defaultRowHeight="14.4" x14ac:dyDescent="0.3"/>
  <cols>
    <col min="1" max="1" width="47.33203125" style="2" customWidth="1"/>
    <col min="2" max="5" width="10.33203125" style="2" customWidth="1"/>
    <col min="6" max="13" width="12" style="2" customWidth="1"/>
    <col min="14" max="16384" width="9" style="2"/>
  </cols>
  <sheetData>
    <row r="1" spans="1:13" ht="17.399999999999999" x14ac:dyDescent="0.3">
      <c r="A1" s="9" t="s">
        <v>1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</row>
    <row r="2" spans="1:13" ht="17.399999999999999" x14ac:dyDescent="0.3">
      <c r="A2" s="9" t="s">
        <v>361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</row>
    <row r="3" spans="1:13" x14ac:dyDescent="0.3">
      <c r="A3" s="11" t="s">
        <v>360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</row>
    <row r="5" spans="1:13" x14ac:dyDescent="0.3">
      <c r="A5" s="3"/>
      <c r="B5" s="4" t="s">
        <v>4</v>
      </c>
      <c r="C5" s="4" t="s">
        <v>5</v>
      </c>
      <c r="D5" s="4" t="s">
        <v>6</v>
      </c>
      <c r="E5" s="4" t="s">
        <v>7</v>
      </c>
      <c r="F5" s="4" t="s">
        <v>8</v>
      </c>
      <c r="G5" s="4" t="s">
        <v>9</v>
      </c>
      <c r="H5" s="4" t="s">
        <v>10</v>
      </c>
      <c r="I5" s="4" t="s">
        <v>11</v>
      </c>
      <c r="J5" s="4" t="s">
        <v>12</v>
      </c>
      <c r="K5" s="4" t="s">
        <v>13</v>
      </c>
      <c r="L5" s="4" t="s">
        <v>14</v>
      </c>
      <c r="M5" s="4" t="s">
        <v>15</v>
      </c>
    </row>
    <row r="6" spans="1:13" x14ac:dyDescent="0.3">
      <c r="A6" s="5" t="s">
        <v>359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</row>
    <row r="7" spans="1:13" x14ac:dyDescent="0.3">
      <c r="A7" s="5" t="s">
        <v>358</v>
      </c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</row>
    <row r="8" spans="1:13" x14ac:dyDescent="0.3">
      <c r="A8" s="5" t="s">
        <v>357</v>
      </c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</row>
    <row r="9" spans="1:13" x14ac:dyDescent="0.3">
      <c r="A9" s="5" t="s">
        <v>356</v>
      </c>
      <c r="B9" s="7">
        <f>0</f>
        <v>0</v>
      </c>
      <c r="C9" s="7">
        <f>0</f>
        <v>0</v>
      </c>
      <c r="D9" s="7">
        <f>C9</f>
        <v>0</v>
      </c>
      <c r="E9" s="7">
        <f>0</f>
        <v>0</v>
      </c>
      <c r="F9" s="7">
        <f>E9</f>
        <v>0</v>
      </c>
      <c r="G9" s="7">
        <f>0</f>
        <v>0</v>
      </c>
      <c r="H9" s="7">
        <f>0</f>
        <v>0</v>
      </c>
      <c r="I9" s="7">
        <f>0</f>
        <v>0</v>
      </c>
      <c r="J9" s="7">
        <f>0</f>
        <v>0</v>
      </c>
      <c r="K9" s="7">
        <f>28743.9</f>
        <v>28743.9</v>
      </c>
      <c r="L9" s="7">
        <f>95731.79</f>
        <v>95731.79</v>
      </c>
      <c r="M9" s="7">
        <f>31409.4</f>
        <v>31409.4</v>
      </c>
    </row>
    <row r="10" spans="1:13" x14ac:dyDescent="0.3">
      <c r="A10" s="5" t="s">
        <v>355</v>
      </c>
      <c r="B10" s="7">
        <f>0</f>
        <v>0</v>
      </c>
      <c r="C10" s="7">
        <f>B10</f>
        <v>0</v>
      </c>
      <c r="D10" s="7">
        <f>C10</f>
        <v>0</v>
      </c>
      <c r="E10" s="7">
        <f>D10</f>
        <v>0</v>
      </c>
      <c r="F10" s="7">
        <f>E10</f>
        <v>0</v>
      </c>
      <c r="G10" s="7">
        <f t="shared" ref="G10:M10" si="0">F10</f>
        <v>0</v>
      </c>
      <c r="H10" s="7">
        <f t="shared" si="0"/>
        <v>0</v>
      </c>
      <c r="I10" s="7">
        <f t="shared" si="0"/>
        <v>0</v>
      </c>
      <c r="J10" s="7">
        <f t="shared" si="0"/>
        <v>0</v>
      </c>
      <c r="K10" s="7">
        <f t="shared" si="0"/>
        <v>0</v>
      </c>
      <c r="L10" s="7">
        <f t="shared" si="0"/>
        <v>0</v>
      </c>
      <c r="M10" s="7">
        <f t="shared" si="0"/>
        <v>0</v>
      </c>
    </row>
    <row r="11" spans="1:13" x14ac:dyDescent="0.3">
      <c r="A11" s="5" t="s">
        <v>354</v>
      </c>
      <c r="B11" s="7">
        <f>98735.68</f>
        <v>98735.679999999993</v>
      </c>
      <c r="C11" s="7">
        <f>45074.86</f>
        <v>45074.86</v>
      </c>
      <c r="D11" s="7">
        <f>89064.82</f>
        <v>89064.82</v>
      </c>
      <c r="E11" s="7">
        <f>190617.17</f>
        <v>190617.17</v>
      </c>
      <c r="F11" s="7">
        <f>155148.8</f>
        <v>155148.79999999999</v>
      </c>
      <c r="G11" s="7">
        <f>264857.92</f>
        <v>264857.92</v>
      </c>
      <c r="H11" s="7">
        <f>136118.81</f>
        <v>136118.81</v>
      </c>
      <c r="I11" s="7">
        <f>368986.97</f>
        <v>368986.97</v>
      </c>
      <c r="J11" s="7">
        <f>268115.41</f>
        <v>268115.40999999997</v>
      </c>
      <c r="K11" s="7">
        <f>170719</f>
        <v>170719</v>
      </c>
      <c r="L11" s="7">
        <f>184440.08</f>
        <v>184440.08</v>
      </c>
      <c r="M11" s="7">
        <f>246158.33</f>
        <v>246158.33</v>
      </c>
    </row>
    <row r="12" spans="1:13" x14ac:dyDescent="0.3">
      <c r="A12" s="5" t="s">
        <v>353</v>
      </c>
      <c r="B12" s="7">
        <f>5000</f>
        <v>5000</v>
      </c>
      <c r="C12" s="7">
        <f>B12</f>
        <v>5000</v>
      </c>
      <c r="D12" s="7">
        <f>4984</f>
        <v>4984</v>
      </c>
      <c r="E12" s="7">
        <f>3942</f>
        <v>3942</v>
      </c>
      <c r="F12" s="7">
        <f>8599</f>
        <v>8599</v>
      </c>
      <c r="G12" s="7">
        <f>31606.04</f>
        <v>31606.04</v>
      </c>
      <c r="H12" s="7">
        <f>30855.41</f>
        <v>30855.41</v>
      </c>
      <c r="I12" s="7">
        <f>19697.67</f>
        <v>19697.669999999998</v>
      </c>
      <c r="J12" s="7">
        <f>28199.62</f>
        <v>28199.62</v>
      </c>
      <c r="K12" s="7">
        <f>14654.41</f>
        <v>14654.41</v>
      </c>
      <c r="L12" s="7">
        <f>14654.41</f>
        <v>14654.41</v>
      </c>
      <c r="M12" s="7">
        <f>L12</f>
        <v>14654.41</v>
      </c>
    </row>
    <row r="13" spans="1:13" x14ac:dyDescent="0.3">
      <c r="A13" s="5" t="s">
        <v>352</v>
      </c>
      <c r="B13" s="7">
        <f>565016.68</f>
        <v>565016.68000000005</v>
      </c>
      <c r="C13" s="7">
        <f>461012.45</f>
        <v>461012.45</v>
      </c>
      <c r="D13" s="7">
        <f>150008.63</f>
        <v>150008.63</v>
      </c>
      <c r="E13" s="7">
        <f>250014.71</f>
        <v>250014.71</v>
      </c>
      <c r="F13" s="7">
        <f>450022.89</f>
        <v>450022.89</v>
      </c>
      <c r="G13" s="7">
        <f>450033.99</f>
        <v>450033.99</v>
      </c>
      <c r="H13" s="7">
        <f>925055.11</f>
        <v>925055.11</v>
      </c>
      <c r="I13" s="7">
        <f>1030079.49</f>
        <v>1030079.49</v>
      </c>
      <c r="J13" s="7">
        <f>880101.6</f>
        <v>880101.6</v>
      </c>
      <c r="K13" s="7">
        <f>350119.53</f>
        <v>350119.53</v>
      </c>
      <c r="L13" s="7">
        <f>250127.03</f>
        <v>250127.03</v>
      </c>
      <c r="M13" s="7">
        <f>110130.52</f>
        <v>110130.52</v>
      </c>
    </row>
    <row r="14" spans="1:13" x14ac:dyDescent="0.3">
      <c r="A14" s="5" t="s">
        <v>351</v>
      </c>
      <c r="B14" s="7">
        <f>0</f>
        <v>0</v>
      </c>
      <c r="C14" s="7">
        <f t="shared" ref="C14:M14" si="1">B14</f>
        <v>0</v>
      </c>
      <c r="D14" s="7">
        <f t="shared" si="1"/>
        <v>0</v>
      </c>
      <c r="E14" s="7">
        <f t="shared" si="1"/>
        <v>0</v>
      </c>
      <c r="F14" s="7">
        <f t="shared" si="1"/>
        <v>0</v>
      </c>
      <c r="G14" s="7">
        <f t="shared" si="1"/>
        <v>0</v>
      </c>
      <c r="H14" s="7">
        <f t="shared" si="1"/>
        <v>0</v>
      </c>
      <c r="I14" s="7">
        <f t="shared" si="1"/>
        <v>0</v>
      </c>
      <c r="J14" s="7">
        <f t="shared" si="1"/>
        <v>0</v>
      </c>
      <c r="K14" s="7">
        <f t="shared" si="1"/>
        <v>0</v>
      </c>
      <c r="L14" s="7">
        <f t="shared" si="1"/>
        <v>0</v>
      </c>
      <c r="M14" s="7">
        <f t="shared" si="1"/>
        <v>0</v>
      </c>
    </row>
    <row r="15" spans="1:13" x14ac:dyDescent="0.3">
      <c r="A15" s="5" t="s">
        <v>350</v>
      </c>
      <c r="B15" s="7">
        <f>0</f>
        <v>0</v>
      </c>
      <c r="C15" s="7">
        <f t="shared" ref="C15:M15" si="2">B15</f>
        <v>0</v>
      </c>
      <c r="D15" s="7">
        <f t="shared" si="2"/>
        <v>0</v>
      </c>
      <c r="E15" s="7">
        <f t="shared" si="2"/>
        <v>0</v>
      </c>
      <c r="F15" s="7">
        <f t="shared" si="2"/>
        <v>0</v>
      </c>
      <c r="G15" s="7">
        <f t="shared" si="2"/>
        <v>0</v>
      </c>
      <c r="H15" s="7">
        <f t="shared" si="2"/>
        <v>0</v>
      </c>
      <c r="I15" s="7">
        <f t="shared" si="2"/>
        <v>0</v>
      </c>
      <c r="J15" s="7">
        <f t="shared" si="2"/>
        <v>0</v>
      </c>
      <c r="K15" s="7">
        <f t="shared" si="2"/>
        <v>0</v>
      </c>
      <c r="L15" s="7">
        <f t="shared" si="2"/>
        <v>0</v>
      </c>
      <c r="M15" s="7">
        <f t="shared" si="2"/>
        <v>0</v>
      </c>
    </row>
    <row r="16" spans="1:13" x14ac:dyDescent="0.3">
      <c r="A16" s="5" t="s">
        <v>349</v>
      </c>
      <c r="B16" s="7">
        <f>0</f>
        <v>0</v>
      </c>
      <c r="C16" s="7">
        <f t="shared" ref="C16:M16" si="3">B16</f>
        <v>0</v>
      </c>
      <c r="D16" s="7">
        <f t="shared" si="3"/>
        <v>0</v>
      </c>
      <c r="E16" s="7">
        <f t="shared" si="3"/>
        <v>0</v>
      </c>
      <c r="F16" s="7">
        <f t="shared" si="3"/>
        <v>0</v>
      </c>
      <c r="G16" s="7">
        <f t="shared" si="3"/>
        <v>0</v>
      </c>
      <c r="H16" s="7">
        <f t="shared" si="3"/>
        <v>0</v>
      </c>
      <c r="I16" s="7">
        <f t="shared" si="3"/>
        <v>0</v>
      </c>
      <c r="J16" s="7">
        <f t="shared" si="3"/>
        <v>0</v>
      </c>
      <c r="K16" s="7">
        <f t="shared" si="3"/>
        <v>0</v>
      </c>
      <c r="L16" s="7">
        <f t="shared" si="3"/>
        <v>0</v>
      </c>
      <c r="M16" s="7">
        <f t="shared" si="3"/>
        <v>0</v>
      </c>
    </row>
    <row r="17" spans="1:13" x14ac:dyDescent="0.3">
      <c r="A17" s="5" t="s">
        <v>348</v>
      </c>
      <c r="B17" s="8">
        <f t="shared" ref="B17:M17" si="4">(((((((B9)+(B10))+(B11))+(B12))+(B13))+(B14))+(B15))+(B16)</f>
        <v>668752.3600000001</v>
      </c>
      <c r="C17" s="8">
        <f t="shared" si="4"/>
        <v>511087.31</v>
      </c>
      <c r="D17" s="8">
        <f t="shared" si="4"/>
        <v>244057.45</v>
      </c>
      <c r="E17" s="8">
        <f t="shared" si="4"/>
        <v>444573.88</v>
      </c>
      <c r="F17" s="8">
        <f t="shared" si="4"/>
        <v>613770.68999999994</v>
      </c>
      <c r="G17" s="8">
        <f t="shared" si="4"/>
        <v>746497.95</v>
      </c>
      <c r="H17" s="8">
        <f t="shared" si="4"/>
        <v>1092029.33</v>
      </c>
      <c r="I17" s="8">
        <f t="shared" si="4"/>
        <v>1418764.13</v>
      </c>
      <c r="J17" s="8">
        <f t="shared" si="4"/>
        <v>1176416.6299999999</v>
      </c>
      <c r="K17" s="8">
        <f t="shared" si="4"/>
        <v>564236.84000000008</v>
      </c>
      <c r="L17" s="8">
        <f t="shared" si="4"/>
        <v>544953.30999999994</v>
      </c>
      <c r="M17" s="8">
        <f t="shared" si="4"/>
        <v>402352.66</v>
      </c>
    </row>
    <row r="18" spans="1:13" x14ac:dyDescent="0.3">
      <c r="A18" s="5" t="s">
        <v>347</v>
      </c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</row>
    <row r="19" spans="1:13" x14ac:dyDescent="0.3">
      <c r="A19" s="5" t="s">
        <v>346</v>
      </c>
      <c r="B19" s="7">
        <f>0</f>
        <v>0</v>
      </c>
      <c r="C19" s="7">
        <f t="shared" ref="C19:M19" si="5">B19</f>
        <v>0</v>
      </c>
      <c r="D19" s="7">
        <f t="shared" si="5"/>
        <v>0</v>
      </c>
      <c r="E19" s="7">
        <f t="shared" si="5"/>
        <v>0</v>
      </c>
      <c r="F19" s="7">
        <f t="shared" si="5"/>
        <v>0</v>
      </c>
      <c r="G19" s="7">
        <f t="shared" si="5"/>
        <v>0</v>
      </c>
      <c r="H19" s="7">
        <f t="shared" si="5"/>
        <v>0</v>
      </c>
      <c r="I19" s="7">
        <f t="shared" si="5"/>
        <v>0</v>
      </c>
      <c r="J19" s="7">
        <f t="shared" si="5"/>
        <v>0</v>
      </c>
      <c r="K19" s="7">
        <f t="shared" si="5"/>
        <v>0</v>
      </c>
      <c r="L19" s="7">
        <f t="shared" si="5"/>
        <v>0</v>
      </c>
      <c r="M19" s="7">
        <f t="shared" si="5"/>
        <v>0</v>
      </c>
    </row>
    <row r="20" spans="1:13" x14ac:dyDescent="0.3">
      <c r="A20" s="5" t="s">
        <v>345</v>
      </c>
      <c r="B20" s="8">
        <f t="shared" ref="B20:M20" si="6">B19</f>
        <v>0</v>
      </c>
      <c r="C20" s="8">
        <f t="shared" si="6"/>
        <v>0</v>
      </c>
      <c r="D20" s="8">
        <f t="shared" si="6"/>
        <v>0</v>
      </c>
      <c r="E20" s="8">
        <f t="shared" si="6"/>
        <v>0</v>
      </c>
      <c r="F20" s="8">
        <f t="shared" si="6"/>
        <v>0</v>
      </c>
      <c r="G20" s="8">
        <f t="shared" si="6"/>
        <v>0</v>
      </c>
      <c r="H20" s="8">
        <f t="shared" si="6"/>
        <v>0</v>
      </c>
      <c r="I20" s="8">
        <f t="shared" si="6"/>
        <v>0</v>
      </c>
      <c r="J20" s="8">
        <f t="shared" si="6"/>
        <v>0</v>
      </c>
      <c r="K20" s="8">
        <f t="shared" si="6"/>
        <v>0</v>
      </c>
      <c r="L20" s="8">
        <f t="shared" si="6"/>
        <v>0</v>
      </c>
      <c r="M20" s="8">
        <f t="shared" si="6"/>
        <v>0</v>
      </c>
    </row>
    <row r="21" spans="1:13" x14ac:dyDescent="0.3">
      <c r="A21" s="5" t="s">
        <v>344</v>
      </c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</row>
    <row r="22" spans="1:13" x14ac:dyDescent="0.3">
      <c r="A22" s="5" t="s">
        <v>343</v>
      </c>
      <c r="B22" s="6"/>
      <c r="C22" s="7">
        <f>B22</f>
        <v>0</v>
      </c>
      <c r="D22" s="7">
        <f>C22</f>
        <v>0</v>
      </c>
      <c r="E22" s="7">
        <f>D22</f>
        <v>0</v>
      </c>
      <c r="F22" s="7">
        <f>14000</f>
        <v>14000</v>
      </c>
      <c r="G22" s="7">
        <f t="shared" ref="G22:M22" si="7">F22</f>
        <v>14000</v>
      </c>
      <c r="H22" s="7">
        <f t="shared" si="7"/>
        <v>14000</v>
      </c>
      <c r="I22" s="7">
        <f t="shared" si="7"/>
        <v>14000</v>
      </c>
      <c r="J22" s="7">
        <f t="shared" si="7"/>
        <v>14000</v>
      </c>
      <c r="K22" s="7">
        <f t="shared" si="7"/>
        <v>14000</v>
      </c>
      <c r="L22" s="7">
        <f t="shared" si="7"/>
        <v>14000</v>
      </c>
      <c r="M22" s="7">
        <f t="shared" si="7"/>
        <v>14000</v>
      </c>
    </row>
    <row r="23" spans="1:13" x14ac:dyDescent="0.3">
      <c r="A23" s="5" t="s">
        <v>342</v>
      </c>
      <c r="B23" s="7">
        <f>297611.78</f>
        <v>297611.78000000003</v>
      </c>
      <c r="C23" s="7">
        <f>336742.95</f>
        <v>336742.95</v>
      </c>
      <c r="D23" s="7">
        <f>454651.41</f>
        <v>454651.41</v>
      </c>
      <c r="E23" s="7">
        <f>425601.31</f>
        <v>425601.31</v>
      </c>
      <c r="F23" s="7">
        <f>485328.08</f>
        <v>485328.08</v>
      </c>
      <c r="G23" s="7">
        <f>616548.01</f>
        <v>616548.01</v>
      </c>
      <c r="H23" s="7">
        <f>840115.39</f>
        <v>840115.39</v>
      </c>
      <c r="I23" s="7">
        <f>938775.16</f>
        <v>938775.16</v>
      </c>
      <c r="J23" s="7">
        <f>1105324.11</f>
        <v>1105324.1100000001</v>
      </c>
      <c r="K23" s="7">
        <f>1224223.24</f>
        <v>1224223.24</v>
      </c>
      <c r="L23" s="7">
        <f>1582629.33</f>
        <v>1582629.33</v>
      </c>
      <c r="M23" s="7">
        <f>1393386.35</f>
        <v>1393386.35</v>
      </c>
    </row>
    <row r="24" spans="1:13" x14ac:dyDescent="0.3">
      <c r="A24" s="5" t="s">
        <v>341</v>
      </c>
      <c r="B24" s="7">
        <f>6579.28</f>
        <v>6579.28</v>
      </c>
      <c r="C24" s="7">
        <f>6359.97</f>
        <v>6359.97</v>
      </c>
      <c r="D24" s="7">
        <f>6140.66</f>
        <v>6140.66</v>
      </c>
      <c r="E24" s="7">
        <f>5921.35</f>
        <v>5921.35</v>
      </c>
      <c r="F24" s="7">
        <f>5702.04</f>
        <v>5702.04</v>
      </c>
      <c r="G24" s="7">
        <f>5482.73</f>
        <v>5482.73</v>
      </c>
      <c r="H24" s="7">
        <f>5263.42</f>
        <v>5263.42</v>
      </c>
      <c r="I24" s="7">
        <f>5044.11</f>
        <v>5044.1099999999997</v>
      </c>
      <c r="J24" s="7">
        <f>4824.8</f>
        <v>4824.8</v>
      </c>
      <c r="K24" s="7">
        <f>4605.49</f>
        <v>4605.49</v>
      </c>
      <c r="L24" s="7">
        <f>68708.57</f>
        <v>68708.570000000007</v>
      </c>
      <c r="M24" s="7">
        <f>4166.87</f>
        <v>4166.87</v>
      </c>
    </row>
    <row r="25" spans="1:13" x14ac:dyDescent="0.3">
      <c r="A25" s="5" t="s">
        <v>340</v>
      </c>
      <c r="B25" s="7">
        <f>0</f>
        <v>0</v>
      </c>
      <c r="C25" s="7">
        <f t="shared" ref="C25:M25" si="8">B25</f>
        <v>0</v>
      </c>
      <c r="D25" s="7">
        <f t="shared" si="8"/>
        <v>0</v>
      </c>
      <c r="E25" s="7">
        <f t="shared" si="8"/>
        <v>0</v>
      </c>
      <c r="F25" s="7">
        <f t="shared" si="8"/>
        <v>0</v>
      </c>
      <c r="G25" s="7">
        <f t="shared" si="8"/>
        <v>0</v>
      </c>
      <c r="H25" s="7">
        <f t="shared" si="8"/>
        <v>0</v>
      </c>
      <c r="I25" s="7">
        <f t="shared" si="8"/>
        <v>0</v>
      </c>
      <c r="J25" s="7">
        <f t="shared" si="8"/>
        <v>0</v>
      </c>
      <c r="K25" s="7">
        <f t="shared" si="8"/>
        <v>0</v>
      </c>
      <c r="L25" s="7">
        <f t="shared" si="8"/>
        <v>0</v>
      </c>
      <c r="M25" s="7">
        <f t="shared" si="8"/>
        <v>0</v>
      </c>
    </row>
    <row r="26" spans="1:13" x14ac:dyDescent="0.3">
      <c r="A26" s="5" t="s">
        <v>339</v>
      </c>
      <c r="B26" s="8">
        <f t="shared" ref="B26:M26" si="9">(((B22)+(B23))+(B24))+(B25)</f>
        <v>304191.06000000006</v>
      </c>
      <c r="C26" s="8">
        <f t="shared" si="9"/>
        <v>343102.92</v>
      </c>
      <c r="D26" s="8">
        <f t="shared" si="9"/>
        <v>460792.06999999995</v>
      </c>
      <c r="E26" s="8">
        <f t="shared" si="9"/>
        <v>431522.66</v>
      </c>
      <c r="F26" s="8">
        <f t="shared" si="9"/>
        <v>505030.12</v>
      </c>
      <c r="G26" s="8">
        <f t="shared" si="9"/>
        <v>636030.74</v>
      </c>
      <c r="H26" s="8">
        <f t="shared" si="9"/>
        <v>859378.81</v>
      </c>
      <c r="I26" s="8">
        <f t="shared" si="9"/>
        <v>957819.27</v>
      </c>
      <c r="J26" s="8">
        <f t="shared" si="9"/>
        <v>1124148.9100000001</v>
      </c>
      <c r="K26" s="8">
        <f t="shared" si="9"/>
        <v>1242828.73</v>
      </c>
      <c r="L26" s="8">
        <f t="shared" si="9"/>
        <v>1665337.9000000001</v>
      </c>
      <c r="M26" s="8">
        <f t="shared" si="9"/>
        <v>1411553.2200000002</v>
      </c>
    </row>
    <row r="27" spans="1:13" x14ac:dyDescent="0.3">
      <c r="A27" s="5" t="s">
        <v>338</v>
      </c>
      <c r="B27" s="8">
        <f t="shared" ref="B27:M27" si="10">((B17)+(B20))+(B26)</f>
        <v>972943.42000000016</v>
      </c>
      <c r="C27" s="8">
        <f t="shared" si="10"/>
        <v>854190.23</v>
      </c>
      <c r="D27" s="8">
        <f t="shared" si="10"/>
        <v>704849.52</v>
      </c>
      <c r="E27" s="8">
        <f t="shared" si="10"/>
        <v>876096.54</v>
      </c>
      <c r="F27" s="8">
        <f t="shared" si="10"/>
        <v>1118800.81</v>
      </c>
      <c r="G27" s="8">
        <f t="shared" si="10"/>
        <v>1382528.69</v>
      </c>
      <c r="H27" s="8">
        <f t="shared" si="10"/>
        <v>1951408.1400000001</v>
      </c>
      <c r="I27" s="8">
        <f t="shared" si="10"/>
        <v>2376583.4</v>
      </c>
      <c r="J27" s="8">
        <f t="shared" si="10"/>
        <v>2300565.54</v>
      </c>
      <c r="K27" s="8">
        <f t="shared" si="10"/>
        <v>1807065.57</v>
      </c>
      <c r="L27" s="8">
        <f t="shared" si="10"/>
        <v>2210291.21</v>
      </c>
      <c r="M27" s="8">
        <f t="shared" si="10"/>
        <v>1813905.8800000001</v>
      </c>
    </row>
    <row r="28" spans="1:13" x14ac:dyDescent="0.3">
      <c r="A28" s="5" t="s">
        <v>337</v>
      </c>
      <c r="B28" s="8">
        <f t="shared" ref="B28:M28" si="11">B27</f>
        <v>972943.42000000016</v>
      </c>
      <c r="C28" s="8">
        <f t="shared" si="11"/>
        <v>854190.23</v>
      </c>
      <c r="D28" s="8">
        <f t="shared" si="11"/>
        <v>704849.52</v>
      </c>
      <c r="E28" s="8">
        <f t="shared" si="11"/>
        <v>876096.54</v>
      </c>
      <c r="F28" s="8">
        <f t="shared" si="11"/>
        <v>1118800.81</v>
      </c>
      <c r="G28" s="8">
        <f t="shared" si="11"/>
        <v>1382528.69</v>
      </c>
      <c r="H28" s="8">
        <f t="shared" si="11"/>
        <v>1951408.1400000001</v>
      </c>
      <c r="I28" s="8">
        <f t="shared" si="11"/>
        <v>2376583.4</v>
      </c>
      <c r="J28" s="8">
        <f t="shared" si="11"/>
        <v>2300565.54</v>
      </c>
      <c r="K28" s="8">
        <f t="shared" si="11"/>
        <v>1807065.57</v>
      </c>
      <c r="L28" s="8">
        <f t="shared" si="11"/>
        <v>2210291.21</v>
      </c>
      <c r="M28" s="8">
        <f t="shared" si="11"/>
        <v>1813905.8800000001</v>
      </c>
    </row>
    <row r="29" spans="1:13" x14ac:dyDescent="0.3">
      <c r="A29" s="5" t="s">
        <v>336</v>
      </c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</row>
    <row r="30" spans="1:13" x14ac:dyDescent="0.3">
      <c r="A30" s="5" t="s">
        <v>335</v>
      </c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</row>
    <row r="31" spans="1:13" x14ac:dyDescent="0.3">
      <c r="A31" s="5" t="s">
        <v>334</v>
      </c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</row>
    <row r="32" spans="1:13" x14ac:dyDescent="0.3">
      <c r="A32" s="5" t="s">
        <v>333</v>
      </c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</row>
    <row r="33" spans="1:13" x14ac:dyDescent="0.3">
      <c r="A33" s="5" t="s">
        <v>332</v>
      </c>
      <c r="B33" s="7">
        <f>-3799.17</f>
        <v>-3799.17</v>
      </c>
      <c r="C33" s="7">
        <f>0</f>
        <v>0</v>
      </c>
      <c r="D33" s="7">
        <f>6657</f>
        <v>6657</v>
      </c>
      <c r="E33" s="7">
        <f>0</f>
        <v>0</v>
      </c>
      <c r="F33" s="7">
        <f>36072.6</f>
        <v>36072.6</v>
      </c>
      <c r="G33" s="7">
        <f>105767.55</f>
        <v>105767.55</v>
      </c>
      <c r="H33" s="7">
        <f>293047.7</f>
        <v>293047.7</v>
      </c>
      <c r="I33" s="7">
        <f>395058.2</f>
        <v>395058.2</v>
      </c>
      <c r="J33" s="7">
        <f>430004.2</f>
        <v>430004.2</v>
      </c>
      <c r="K33" s="7">
        <f>544545.79</f>
        <v>544545.79</v>
      </c>
      <c r="L33" s="7">
        <f>655953.16</f>
        <v>655953.16</v>
      </c>
      <c r="M33" s="7">
        <f>629188.03</f>
        <v>629188.03</v>
      </c>
    </row>
    <row r="34" spans="1:13" x14ac:dyDescent="0.3">
      <c r="A34" s="5" t="s">
        <v>331</v>
      </c>
      <c r="B34" s="7">
        <f>0</f>
        <v>0</v>
      </c>
      <c r="C34" s="7">
        <f t="shared" ref="C34:M34" si="12">B34</f>
        <v>0</v>
      </c>
      <c r="D34" s="7">
        <f t="shared" si="12"/>
        <v>0</v>
      </c>
      <c r="E34" s="7">
        <f t="shared" si="12"/>
        <v>0</v>
      </c>
      <c r="F34" s="7">
        <f t="shared" si="12"/>
        <v>0</v>
      </c>
      <c r="G34" s="7">
        <f t="shared" si="12"/>
        <v>0</v>
      </c>
      <c r="H34" s="7">
        <f t="shared" si="12"/>
        <v>0</v>
      </c>
      <c r="I34" s="7">
        <f t="shared" si="12"/>
        <v>0</v>
      </c>
      <c r="J34" s="7">
        <f t="shared" si="12"/>
        <v>0</v>
      </c>
      <c r="K34" s="7">
        <f t="shared" si="12"/>
        <v>0</v>
      </c>
      <c r="L34" s="7">
        <f t="shared" si="12"/>
        <v>0</v>
      </c>
      <c r="M34" s="7">
        <f t="shared" si="12"/>
        <v>0</v>
      </c>
    </row>
    <row r="35" spans="1:13" x14ac:dyDescent="0.3">
      <c r="A35" s="5" t="s">
        <v>330</v>
      </c>
      <c r="B35" s="8">
        <f t="shared" ref="B35:M35" si="13">(B33)+(B34)</f>
        <v>-3799.17</v>
      </c>
      <c r="C35" s="8">
        <f t="shared" si="13"/>
        <v>0</v>
      </c>
      <c r="D35" s="8">
        <f t="shared" si="13"/>
        <v>6657</v>
      </c>
      <c r="E35" s="8">
        <f t="shared" si="13"/>
        <v>0</v>
      </c>
      <c r="F35" s="8">
        <f t="shared" si="13"/>
        <v>36072.6</v>
      </c>
      <c r="G35" s="8">
        <f t="shared" si="13"/>
        <v>105767.55</v>
      </c>
      <c r="H35" s="8">
        <f t="shared" si="13"/>
        <v>293047.7</v>
      </c>
      <c r="I35" s="8">
        <f t="shared" si="13"/>
        <v>395058.2</v>
      </c>
      <c r="J35" s="8">
        <f t="shared" si="13"/>
        <v>430004.2</v>
      </c>
      <c r="K35" s="8">
        <f t="shared" si="13"/>
        <v>544545.79</v>
      </c>
      <c r="L35" s="8">
        <f t="shared" si="13"/>
        <v>655953.16</v>
      </c>
      <c r="M35" s="8">
        <f t="shared" si="13"/>
        <v>629188.03</v>
      </c>
    </row>
    <row r="36" spans="1:13" x14ac:dyDescent="0.3">
      <c r="A36" s="5" t="s">
        <v>329</v>
      </c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</row>
    <row r="37" spans="1:13" x14ac:dyDescent="0.3">
      <c r="A37" s="5" t="s">
        <v>328</v>
      </c>
      <c r="B37" s="7">
        <f>0</f>
        <v>0</v>
      </c>
      <c r="C37" s="7">
        <f t="shared" ref="C37:M37" si="14">B37</f>
        <v>0</v>
      </c>
      <c r="D37" s="7">
        <f t="shared" si="14"/>
        <v>0</v>
      </c>
      <c r="E37" s="7">
        <f t="shared" si="14"/>
        <v>0</v>
      </c>
      <c r="F37" s="7">
        <f t="shared" si="14"/>
        <v>0</v>
      </c>
      <c r="G37" s="7">
        <f t="shared" si="14"/>
        <v>0</v>
      </c>
      <c r="H37" s="7">
        <f t="shared" si="14"/>
        <v>0</v>
      </c>
      <c r="I37" s="7">
        <f t="shared" si="14"/>
        <v>0</v>
      </c>
      <c r="J37" s="7">
        <f t="shared" si="14"/>
        <v>0</v>
      </c>
      <c r="K37" s="7">
        <f t="shared" si="14"/>
        <v>0</v>
      </c>
      <c r="L37" s="7">
        <f t="shared" si="14"/>
        <v>0</v>
      </c>
      <c r="M37" s="7">
        <f t="shared" si="14"/>
        <v>0</v>
      </c>
    </row>
    <row r="38" spans="1:13" x14ac:dyDescent="0.3">
      <c r="A38" s="5" t="s">
        <v>327</v>
      </c>
      <c r="B38" s="7">
        <f>106641.79</f>
        <v>106641.79</v>
      </c>
      <c r="C38" s="7">
        <f>135760.19</f>
        <v>135760.19</v>
      </c>
      <c r="D38" s="7">
        <f>196730.39</f>
        <v>196730.39</v>
      </c>
      <c r="E38" s="7">
        <f>155551.04</f>
        <v>155551.04000000001</v>
      </c>
      <c r="F38" s="7">
        <f>125349.67</f>
        <v>125349.67</v>
      </c>
      <c r="G38" s="7">
        <f>390670.9</f>
        <v>390670.9</v>
      </c>
      <c r="H38" s="7">
        <f>198839.38</f>
        <v>198839.38</v>
      </c>
      <c r="I38" s="7">
        <f>435464.85</f>
        <v>435464.85</v>
      </c>
      <c r="J38" s="7">
        <f>530242.57</f>
        <v>530242.56999999995</v>
      </c>
      <c r="K38" s="7">
        <f>59841.53</f>
        <v>59841.53</v>
      </c>
      <c r="L38" s="7">
        <f>447888.81</f>
        <v>447888.81</v>
      </c>
      <c r="M38" s="7">
        <f>311534.68</f>
        <v>311534.68</v>
      </c>
    </row>
    <row r="39" spans="1:13" x14ac:dyDescent="0.3">
      <c r="A39" s="5" t="s">
        <v>326</v>
      </c>
      <c r="B39" s="6"/>
      <c r="C39" s="7">
        <f>B39</f>
        <v>0</v>
      </c>
      <c r="D39" s="7">
        <f>9531.29</f>
        <v>9531.2900000000009</v>
      </c>
      <c r="E39" s="7">
        <f>0</f>
        <v>0</v>
      </c>
      <c r="F39" s="7">
        <f>90.38</f>
        <v>90.38</v>
      </c>
      <c r="G39" s="7">
        <f>0</f>
        <v>0</v>
      </c>
      <c r="H39" s="7">
        <f t="shared" ref="H39:J41" si="15">G39</f>
        <v>0</v>
      </c>
      <c r="I39" s="7">
        <f t="shared" si="15"/>
        <v>0</v>
      </c>
      <c r="J39" s="7">
        <f t="shared" si="15"/>
        <v>0</v>
      </c>
      <c r="K39" s="7">
        <f>27034.95</f>
        <v>27034.95</v>
      </c>
      <c r="L39" s="7">
        <f>79430.21</f>
        <v>79430.210000000006</v>
      </c>
      <c r="M39" s="7">
        <f>48335.97</f>
        <v>48335.97</v>
      </c>
    </row>
    <row r="40" spans="1:13" x14ac:dyDescent="0.3">
      <c r="A40" s="5" t="s">
        <v>325</v>
      </c>
      <c r="B40" s="7">
        <f>0</f>
        <v>0</v>
      </c>
      <c r="C40" s="7">
        <f>B40</f>
        <v>0</v>
      </c>
      <c r="D40" s="7">
        <f t="shared" ref="D40:G41" si="16">C40</f>
        <v>0</v>
      </c>
      <c r="E40" s="7">
        <f t="shared" si="16"/>
        <v>0</v>
      </c>
      <c r="F40" s="7">
        <f t="shared" si="16"/>
        <v>0</v>
      </c>
      <c r="G40" s="7">
        <f t="shared" si="16"/>
        <v>0</v>
      </c>
      <c r="H40" s="7">
        <f t="shared" si="15"/>
        <v>0</v>
      </c>
      <c r="I40" s="7">
        <f t="shared" si="15"/>
        <v>0</v>
      </c>
      <c r="J40" s="7">
        <f t="shared" si="15"/>
        <v>0</v>
      </c>
      <c r="K40" s="7">
        <f t="shared" ref="K40:M41" si="17">J40</f>
        <v>0</v>
      </c>
      <c r="L40" s="7">
        <f t="shared" si="17"/>
        <v>0</v>
      </c>
      <c r="M40" s="7">
        <f t="shared" si="17"/>
        <v>0</v>
      </c>
    </row>
    <row r="41" spans="1:13" x14ac:dyDescent="0.3">
      <c r="A41" s="5" t="s">
        <v>324</v>
      </c>
      <c r="B41" s="7">
        <f>0</f>
        <v>0</v>
      </c>
      <c r="C41" s="7">
        <f>B41</f>
        <v>0</v>
      </c>
      <c r="D41" s="7">
        <f t="shared" si="16"/>
        <v>0</v>
      </c>
      <c r="E41" s="7">
        <f t="shared" si="16"/>
        <v>0</v>
      </c>
      <c r="F41" s="7">
        <f t="shared" si="16"/>
        <v>0</v>
      </c>
      <c r="G41" s="7">
        <f t="shared" si="16"/>
        <v>0</v>
      </c>
      <c r="H41" s="7">
        <f t="shared" si="15"/>
        <v>0</v>
      </c>
      <c r="I41" s="7">
        <f t="shared" si="15"/>
        <v>0</v>
      </c>
      <c r="J41" s="7">
        <f t="shared" si="15"/>
        <v>0</v>
      </c>
      <c r="K41" s="7">
        <f t="shared" si="17"/>
        <v>0</v>
      </c>
      <c r="L41" s="7">
        <f t="shared" si="17"/>
        <v>0</v>
      </c>
      <c r="M41" s="7">
        <f t="shared" si="17"/>
        <v>0</v>
      </c>
    </row>
    <row r="42" spans="1:13" x14ac:dyDescent="0.3">
      <c r="A42" s="5" t="s">
        <v>323</v>
      </c>
      <c r="B42" s="7">
        <f>18750</f>
        <v>18750</v>
      </c>
      <c r="C42" s="7">
        <f>37483.1</f>
        <v>37483.1</v>
      </c>
      <c r="D42" s="7">
        <f>0</f>
        <v>0</v>
      </c>
      <c r="E42" s="7">
        <f>31866.82</f>
        <v>31866.82</v>
      </c>
      <c r="F42" s="7">
        <f>21668.04</f>
        <v>21668.04</v>
      </c>
      <c r="G42" s="7">
        <f>45944.25</f>
        <v>45944.25</v>
      </c>
      <c r="H42" s="7">
        <f>95990.14</f>
        <v>95990.14</v>
      </c>
      <c r="I42" s="7">
        <f>32252.08</f>
        <v>32252.080000000002</v>
      </c>
      <c r="J42" s="7">
        <f>84095.79</f>
        <v>84095.79</v>
      </c>
      <c r="K42" s="7">
        <f>109676.99</f>
        <v>109676.99</v>
      </c>
      <c r="L42" s="7">
        <f>73799.14</f>
        <v>73799.14</v>
      </c>
      <c r="M42" s="7">
        <f>97906.95</f>
        <v>97906.95</v>
      </c>
    </row>
    <row r="43" spans="1:13" x14ac:dyDescent="0.3">
      <c r="A43" s="5" t="s">
        <v>322</v>
      </c>
      <c r="B43" s="7">
        <f>44335.75</f>
        <v>44335.75</v>
      </c>
      <c r="C43" s="7">
        <f>604.61</f>
        <v>604.61</v>
      </c>
      <c r="D43" s="7">
        <f>58117.27</f>
        <v>58117.27</v>
      </c>
      <c r="E43" s="7">
        <f>49095.88</f>
        <v>49095.88</v>
      </c>
      <c r="F43" s="7">
        <f>37157.92</f>
        <v>37157.919999999998</v>
      </c>
      <c r="G43" s="7">
        <f>3412.39</f>
        <v>3412.39</v>
      </c>
      <c r="H43" s="7">
        <f>46302.83</f>
        <v>46302.83</v>
      </c>
      <c r="I43" s="7">
        <f>44990.65</f>
        <v>44990.65</v>
      </c>
      <c r="J43" s="7">
        <f>45616.39</f>
        <v>45616.39</v>
      </c>
      <c r="K43" s="7">
        <f>81569.66</f>
        <v>81569.66</v>
      </c>
      <c r="L43" s="7">
        <f>88119.67</f>
        <v>88119.67</v>
      </c>
      <c r="M43" s="7">
        <f>62584.9</f>
        <v>62584.9</v>
      </c>
    </row>
    <row r="44" spans="1:13" x14ac:dyDescent="0.3">
      <c r="A44" s="5" t="s">
        <v>321</v>
      </c>
      <c r="B44" s="6"/>
      <c r="C44" s="7">
        <f t="shared" ref="C44:J44" si="18">B44</f>
        <v>0</v>
      </c>
      <c r="D44" s="7">
        <f t="shared" si="18"/>
        <v>0</v>
      </c>
      <c r="E44" s="7">
        <f t="shared" si="18"/>
        <v>0</v>
      </c>
      <c r="F44" s="7">
        <f t="shared" si="18"/>
        <v>0</v>
      </c>
      <c r="G44" s="7">
        <f t="shared" si="18"/>
        <v>0</v>
      </c>
      <c r="H44" s="7">
        <f t="shared" si="18"/>
        <v>0</v>
      </c>
      <c r="I44" s="7">
        <f t="shared" si="18"/>
        <v>0</v>
      </c>
      <c r="J44" s="7">
        <f t="shared" si="18"/>
        <v>0</v>
      </c>
      <c r="K44" s="7">
        <f>361.7</f>
        <v>361.7</v>
      </c>
      <c r="L44" s="7">
        <f>920.51</f>
        <v>920.51</v>
      </c>
      <c r="M44" s="7">
        <f>2393.54</f>
        <v>2393.54</v>
      </c>
    </row>
    <row r="45" spans="1:13" x14ac:dyDescent="0.3">
      <c r="A45" s="5" t="s">
        <v>320</v>
      </c>
      <c r="B45" s="8">
        <f t="shared" ref="B45:M45" si="19">(B43)+(B44)</f>
        <v>44335.75</v>
      </c>
      <c r="C45" s="8">
        <f t="shared" si="19"/>
        <v>604.61</v>
      </c>
      <c r="D45" s="8">
        <f t="shared" si="19"/>
        <v>58117.27</v>
      </c>
      <c r="E45" s="8">
        <f t="shared" si="19"/>
        <v>49095.88</v>
      </c>
      <c r="F45" s="8">
        <f t="shared" si="19"/>
        <v>37157.919999999998</v>
      </c>
      <c r="G45" s="8">
        <f t="shared" si="19"/>
        <v>3412.39</v>
      </c>
      <c r="H45" s="8">
        <f t="shared" si="19"/>
        <v>46302.83</v>
      </c>
      <c r="I45" s="8">
        <f t="shared" si="19"/>
        <v>44990.65</v>
      </c>
      <c r="J45" s="8">
        <f t="shared" si="19"/>
        <v>45616.39</v>
      </c>
      <c r="K45" s="8">
        <f t="shared" si="19"/>
        <v>81931.360000000001</v>
      </c>
      <c r="L45" s="8">
        <f t="shared" si="19"/>
        <v>89040.18</v>
      </c>
      <c r="M45" s="8">
        <f t="shared" si="19"/>
        <v>64978.44</v>
      </c>
    </row>
    <row r="46" spans="1:13" x14ac:dyDescent="0.3">
      <c r="A46" s="5" t="s">
        <v>319</v>
      </c>
      <c r="B46" s="8">
        <f t="shared" ref="B46:M46" si="20">((((((B37)+(B38))+(B39))+(B40))+(B41))+(B42))+(B45)</f>
        <v>169727.53999999998</v>
      </c>
      <c r="C46" s="8">
        <f t="shared" si="20"/>
        <v>173847.9</v>
      </c>
      <c r="D46" s="8">
        <f t="shared" si="20"/>
        <v>264378.95</v>
      </c>
      <c r="E46" s="8">
        <f t="shared" si="20"/>
        <v>236513.74000000002</v>
      </c>
      <c r="F46" s="8">
        <f t="shared" si="20"/>
        <v>184266.01</v>
      </c>
      <c r="G46" s="8">
        <f t="shared" si="20"/>
        <v>440027.54000000004</v>
      </c>
      <c r="H46" s="8">
        <f t="shared" si="20"/>
        <v>341132.35000000003</v>
      </c>
      <c r="I46" s="8">
        <f t="shared" si="20"/>
        <v>512707.58</v>
      </c>
      <c r="J46" s="8">
        <f t="shared" si="20"/>
        <v>659954.75</v>
      </c>
      <c r="K46" s="8">
        <f t="shared" si="20"/>
        <v>278484.83</v>
      </c>
      <c r="L46" s="8">
        <f t="shared" si="20"/>
        <v>690158.34000000008</v>
      </c>
      <c r="M46" s="8">
        <f t="shared" si="20"/>
        <v>522756.04000000004</v>
      </c>
    </row>
    <row r="47" spans="1:13" x14ac:dyDescent="0.3">
      <c r="A47" s="5" t="s">
        <v>318</v>
      </c>
      <c r="B47" s="6"/>
      <c r="C47" s="7">
        <f t="shared" ref="C47:M47" si="21">B47</f>
        <v>0</v>
      </c>
      <c r="D47" s="7">
        <f t="shared" si="21"/>
        <v>0</v>
      </c>
      <c r="E47" s="7">
        <f t="shared" si="21"/>
        <v>0</v>
      </c>
      <c r="F47" s="7">
        <f t="shared" si="21"/>
        <v>0</v>
      </c>
      <c r="G47" s="7">
        <f t="shared" si="21"/>
        <v>0</v>
      </c>
      <c r="H47" s="7">
        <f t="shared" si="21"/>
        <v>0</v>
      </c>
      <c r="I47" s="7">
        <f t="shared" si="21"/>
        <v>0</v>
      </c>
      <c r="J47" s="7">
        <f t="shared" si="21"/>
        <v>0</v>
      </c>
      <c r="K47" s="7">
        <f t="shared" si="21"/>
        <v>0</v>
      </c>
      <c r="L47" s="7">
        <f t="shared" si="21"/>
        <v>0</v>
      </c>
      <c r="M47" s="7">
        <f t="shared" si="21"/>
        <v>0</v>
      </c>
    </row>
    <row r="48" spans="1:13" x14ac:dyDescent="0.3">
      <c r="A48" s="5" t="s">
        <v>317</v>
      </c>
      <c r="B48" s="7">
        <f>9.78</f>
        <v>9.7799999999999994</v>
      </c>
      <c r="C48" s="7">
        <f>130.73</f>
        <v>130.72999999999999</v>
      </c>
      <c r="D48" s="7">
        <f>198.7</f>
        <v>198.7</v>
      </c>
      <c r="E48" s="7">
        <f>190.41</f>
        <v>190.41</v>
      </c>
      <c r="F48" s="7">
        <f>218.32</f>
        <v>218.32</v>
      </c>
      <c r="G48" s="7">
        <f>0</f>
        <v>0</v>
      </c>
      <c r="H48" s="7">
        <f>0</f>
        <v>0</v>
      </c>
      <c r="I48" s="7">
        <f>H48</f>
        <v>0</v>
      </c>
      <c r="J48" s="7">
        <f>I48</f>
        <v>0</v>
      </c>
      <c r="K48" s="7">
        <f>J48</f>
        <v>0</v>
      </c>
      <c r="L48" s="7">
        <f>K48</f>
        <v>0</v>
      </c>
      <c r="M48" s="7">
        <f>L48</f>
        <v>0</v>
      </c>
    </row>
    <row r="49" spans="1:13" x14ac:dyDescent="0.3">
      <c r="A49" s="5" t="s">
        <v>316</v>
      </c>
      <c r="B49" s="8">
        <f t="shared" ref="B49:M49" si="22">(B47)+(B48)</f>
        <v>9.7799999999999994</v>
      </c>
      <c r="C49" s="8">
        <f t="shared" si="22"/>
        <v>130.72999999999999</v>
      </c>
      <c r="D49" s="8">
        <f t="shared" si="22"/>
        <v>198.7</v>
      </c>
      <c r="E49" s="8">
        <f t="shared" si="22"/>
        <v>190.41</v>
      </c>
      <c r="F49" s="8">
        <f t="shared" si="22"/>
        <v>218.32</v>
      </c>
      <c r="G49" s="8">
        <f t="shared" si="22"/>
        <v>0</v>
      </c>
      <c r="H49" s="8">
        <f t="shared" si="22"/>
        <v>0</v>
      </c>
      <c r="I49" s="8">
        <f t="shared" si="22"/>
        <v>0</v>
      </c>
      <c r="J49" s="8">
        <f t="shared" si="22"/>
        <v>0</v>
      </c>
      <c r="K49" s="8">
        <f t="shared" si="22"/>
        <v>0</v>
      </c>
      <c r="L49" s="8">
        <f t="shared" si="22"/>
        <v>0</v>
      </c>
      <c r="M49" s="8">
        <f t="shared" si="22"/>
        <v>0</v>
      </c>
    </row>
    <row r="50" spans="1:13" x14ac:dyDescent="0.3">
      <c r="A50" s="5" t="s">
        <v>315</v>
      </c>
      <c r="B50" s="7">
        <f>0</f>
        <v>0</v>
      </c>
      <c r="C50" s="7">
        <f t="shared" ref="C50:M50" si="23">B50</f>
        <v>0</v>
      </c>
      <c r="D50" s="7">
        <f t="shared" si="23"/>
        <v>0</v>
      </c>
      <c r="E50" s="7">
        <f t="shared" si="23"/>
        <v>0</v>
      </c>
      <c r="F50" s="7">
        <f t="shared" si="23"/>
        <v>0</v>
      </c>
      <c r="G50" s="7">
        <f t="shared" si="23"/>
        <v>0</v>
      </c>
      <c r="H50" s="7">
        <f t="shared" si="23"/>
        <v>0</v>
      </c>
      <c r="I50" s="7">
        <f t="shared" si="23"/>
        <v>0</v>
      </c>
      <c r="J50" s="7">
        <f t="shared" si="23"/>
        <v>0</v>
      </c>
      <c r="K50" s="7">
        <f t="shared" si="23"/>
        <v>0</v>
      </c>
      <c r="L50" s="7">
        <f t="shared" si="23"/>
        <v>0</v>
      </c>
      <c r="M50" s="7">
        <f t="shared" si="23"/>
        <v>0</v>
      </c>
    </row>
    <row r="51" spans="1:13" x14ac:dyDescent="0.3">
      <c r="A51" s="5" t="s">
        <v>314</v>
      </c>
      <c r="B51" s="8">
        <f t="shared" ref="B51:M51" si="24">((B46)+(B49))+(B50)</f>
        <v>169737.31999999998</v>
      </c>
      <c r="C51" s="8">
        <f t="shared" si="24"/>
        <v>173978.63</v>
      </c>
      <c r="D51" s="8">
        <f t="shared" si="24"/>
        <v>264577.65000000002</v>
      </c>
      <c r="E51" s="8">
        <f t="shared" si="24"/>
        <v>236704.15000000002</v>
      </c>
      <c r="F51" s="8">
        <f t="shared" si="24"/>
        <v>184484.33000000002</v>
      </c>
      <c r="G51" s="8">
        <f t="shared" si="24"/>
        <v>440027.54000000004</v>
      </c>
      <c r="H51" s="8">
        <f t="shared" si="24"/>
        <v>341132.35000000003</v>
      </c>
      <c r="I51" s="8">
        <f t="shared" si="24"/>
        <v>512707.58</v>
      </c>
      <c r="J51" s="8">
        <f t="shared" si="24"/>
        <v>659954.75</v>
      </c>
      <c r="K51" s="8">
        <f t="shared" si="24"/>
        <v>278484.83</v>
      </c>
      <c r="L51" s="8">
        <f t="shared" si="24"/>
        <v>690158.34000000008</v>
      </c>
      <c r="M51" s="8">
        <f t="shared" si="24"/>
        <v>522756.04000000004</v>
      </c>
    </row>
    <row r="52" spans="1:13" x14ac:dyDescent="0.3">
      <c r="A52" s="5" t="s">
        <v>313</v>
      </c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</row>
    <row r="53" spans="1:13" x14ac:dyDescent="0.3">
      <c r="A53" s="5" t="s">
        <v>312</v>
      </c>
      <c r="B53" s="7">
        <f>0</f>
        <v>0</v>
      </c>
      <c r="C53" s="7">
        <f t="shared" ref="C53:M53" si="25">B53</f>
        <v>0</v>
      </c>
      <c r="D53" s="7">
        <f t="shared" si="25"/>
        <v>0</v>
      </c>
      <c r="E53" s="7">
        <f t="shared" si="25"/>
        <v>0</v>
      </c>
      <c r="F53" s="7">
        <f t="shared" si="25"/>
        <v>0</v>
      </c>
      <c r="G53" s="7">
        <f t="shared" si="25"/>
        <v>0</v>
      </c>
      <c r="H53" s="7">
        <f t="shared" si="25"/>
        <v>0</v>
      </c>
      <c r="I53" s="7">
        <f t="shared" si="25"/>
        <v>0</v>
      </c>
      <c r="J53" s="7">
        <f t="shared" si="25"/>
        <v>0</v>
      </c>
      <c r="K53" s="7">
        <f t="shared" si="25"/>
        <v>0</v>
      </c>
      <c r="L53" s="7">
        <f t="shared" si="25"/>
        <v>0</v>
      </c>
      <c r="M53" s="7">
        <f t="shared" si="25"/>
        <v>0</v>
      </c>
    </row>
    <row r="54" spans="1:13" x14ac:dyDescent="0.3">
      <c r="A54" s="5" t="s">
        <v>311</v>
      </c>
      <c r="B54" s="7">
        <f>0</f>
        <v>0</v>
      </c>
      <c r="C54" s="7">
        <f t="shared" ref="C54:M54" si="26">B54</f>
        <v>0</v>
      </c>
      <c r="D54" s="7">
        <f t="shared" si="26"/>
        <v>0</v>
      </c>
      <c r="E54" s="7">
        <f t="shared" si="26"/>
        <v>0</v>
      </c>
      <c r="F54" s="7">
        <f t="shared" si="26"/>
        <v>0</v>
      </c>
      <c r="G54" s="7">
        <f t="shared" si="26"/>
        <v>0</v>
      </c>
      <c r="H54" s="7">
        <f t="shared" si="26"/>
        <v>0</v>
      </c>
      <c r="I54" s="7">
        <f t="shared" si="26"/>
        <v>0</v>
      </c>
      <c r="J54" s="7">
        <f t="shared" si="26"/>
        <v>0</v>
      </c>
      <c r="K54" s="7">
        <f t="shared" si="26"/>
        <v>0</v>
      </c>
      <c r="L54" s="7">
        <f t="shared" si="26"/>
        <v>0</v>
      </c>
      <c r="M54" s="7">
        <f t="shared" si="26"/>
        <v>0</v>
      </c>
    </row>
    <row r="55" spans="1:13" x14ac:dyDescent="0.3">
      <c r="A55" s="5" t="s">
        <v>310</v>
      </c>
      <c r="B55" s="7">
        <f>167517.83</f>
        <v>167517.82999999999</v>
      </c>
      <c r="C55" s="7">
        <f>163002.94</f>
        <v>163002.94</v>
      </c>
      <c r="D55" s="7">
        <f>158432.67</f>
        <v>158432.67000000001</v>
      </c>
      <c r="E55" s="7">
        <f>153806.35</f>
        <v>153806.35</v>
      </c>
      <c r="F55" s="7">
        <f>149123.29</f>
        <v>149123.29</v>
      </c>
      <c r="G55" s="7">
        <f>144382.79</f>
        <v>144382.79</v>
      </c>
      <c r="H55" s="7">
        <f>139584.14</f>
        <v>139584.14000000001</v>
      </c>
      <c r="I55" s="7">
        <f>134726.64</f>
        <v>134726.64000000001</v>
      </c>
      <c r="J55" s="7">
        <f>129809.56</f>
        <v>129809.56</v>
      </c>
      <c r="K55" s="7">
        <f>124832.17</f>
        <v>124832.17</v>
      </c>
      <c r="L55" s="7">
        <f>119793.74</f>
        <v>119793.74</v>
      </c>
      <c r="M55" s="7">
        <f>114693.51</f>
        <v>114693.51</v>
      </c>
    </row>
    <row r="56" spans="1:13" x14ac:dyDescent="0.3">
      <c r="A56" s="5" t="s">
        <v>309</v>
      </c>
      <c r="B56" s="7">
        <f>0</f>
        <v>0</v>
      </c>
      <c r="C56" s="7">
        <f t="shared" ref="C56:M56" si="27">B56</f>
        <v>0</v>
      </c>
      <c r="D56" s="7">
        <f t="shared" si="27"/>
        <v>0</v>
      </c>
      <c r="E56" s="7">
        <f t="shared" si="27"/>
        <v>0</v>
      </c>
      <c r="F56" s="7">
        <f t="shared" si="27"/>
        <v>0</v>
      </c>
      <c r="G56" s="7">
        <f t="shared" si="27"/>
        <v>0</v>
      </c>
      <c r="H56" s="7">
        <f t="shared" si="27"/>
        <v>0</v>
      </c>
      <c r="I56" s="7">
        <f t="shared" si="27"/>
        <v>0</v>
      </c>
      <c r="J56" s="7">
        <f t="shared" si="27"/>
        <v>0</v>
      </c>
      <c r="K56" s="7">
        <f t="shared" si="27"/>
        <v>0</v>
      </c>
      <c r="L56" s="7">
        <f t="shared" si="27"/>
        <v>0</v>
      </c>
      <c r="M56" s="7">
        <f t="shared" si="27"/>
        <v>0</v>
      </c>
    </row>
    <row r="57" spans="1:13" x14ac:dyDescent="0.3">
      <c r="A57" s="5" t="s">
        <v>308</v>
      </c>
      <c r="B57" s="7">
        <f>0</f>
        <v>0</v>
      </c>
      <c r="C57" s="7">
        <f t="shared" ref="C57:M57" si="28">B57</f>
        <v>0</v>
      </c>
      <c r="D57" s="7">
        <f t="shared" si="28"/>
        <v>0</v>
      </c>
      <c r="E57" s="7">
        <f t="shared" si="28"/>
        <v>0</v>
      </c>
      <c r="F57" s="7">
        <f t="shared" si="28"/>
        <v>0</v>
      </c>
      <c r="G57" s="7">
        <f t="shared" si="28"/>
        <v>0</v>
      </c>
      <c r="H57" s="7">
        <f t="shared" si="28"/>
        <v>0</v>
      </c>
      <c r="I57" s="7">
        <f t="shared" si="28"/>
        <v>0</v>
      </c>
      <c r="J57" s="7">
        <f t="shared" si="28"/>
        <v>0</v>
      </c>
      <c r="K57" s="7">
        <f t="shared" si="28"/>
        <v>0</v>
      </c>
      <c r="L57" s="7">
        <f t="shared" si="28"/>
        <v>0</v>
      </c>
      <c r="M57" s="7">
        <f t="shared" si="28"/>
        <v>0</v>
      </c>
    </row>
    <row r="58" spans="1:13" x14ac:dyDescent="0.3">
      <c r="A58" s="5" t="s">
        <v>307</v>
      </c>
      <c r="B58" s="7">
        <f>0</f>
        <v>0</v>
      </c>
      <c r="C58" s="7">
        <f t="shared" ref="C58:M58" si="29">B58</f>
        <v>0</v>
      </c>
      <c r="D58" s="7">
        <f t="shared" si="29"/>
        <v>0</v>
      </c>
      <c r="E58" s="7">
        <f t="shared" si="29"/>
        <v>0</v>
      </c>
      <c r="F58" s="7">
        <f t="shared" si="29"/>
        <v>0</v>
      </c>
      <c r="G58" s="7">
        <f t="shared" si="29"/>
        <v>0</v>
      </c>
      <c r="H58" s="7">
        <f t="shared" si="29"/>
        <v>0</v>
      </c>
      <c r="I58" s="7">
        <f t="shared" si="29"/>
        <v>0</v>
      </c>
      <c r="J58" s="7">
        <f t="shared" si="29"/>
        <v>0</v>
      </c>
      <c r="K58" s="7">
        <f t="shared" si="29"/>
        <v>0</v>
      </c>
      <c r="L58" s="7">
        <f t="shared" si="29"/>
        <v>0</v>
      </c>
      <c r="M58" s="7">
        <f t="shared" si="29"/>
        <v>0</v>
      </c>
    </row>
    <row r="59" spans="1:13" x14ac:dyDescent="0.3">
      <c r="A59" s="5" t="s">
        <v>306</v>
      </c>
      <c r="B59" s="7">
        <f>0</f>
        <v>0</v>
      </c>
      <c r="C59" s="7">
        <f t="shared" ref="C59:M59" si="30">B59</f>
        <v>0</v>
      </c>
      <c r="D59" s="7">
        <f t="shared" si="30"/>
        <v>0</v>
      </c>
      <c r="E59" s="7">
        <f t="shared" si="30"/>
        <v>0</v>
      </c>
      <c r="F59" s="7">
        <f t="shared" si="30"/>
        <v>0</v>
      </c>
      <c r="G59" s="7">
        <f t="shared" si="30"/>
        <v>0</v>
      </c>
      <c r="H59" s="7">
        <f t="shared" si="30"/>
        <v>0</v>
      </c>
      <c r="I59" s="7">
        <f t="shared" si="30"/>
        <v>0</v>
      </c>
      <c r="J59" s="7">
        <f t="shared" si="30"/>
        <v>0</v>
      </c>
      <c r="K59" s="7">
        <f t="shared" si="30"/>
        <v>0</v>
      </c>
      <c r="L59" s="7">
        <f t="shared" si="30"/>
        <v>0</v>
      </c>
      <c r="M59" s="7">
        <f t="shared" si="30"/>
        <v>0</v>
      </c>
    </row>
    <row r="60" spans="1:13" x14ac:dyDescent="0.3">
      <c r="A60" s="5" t="s">
        <v>305</v>
      </c>
      <c r="B60" s="8">
        <f t="shared" ref="B60:M60" si="31">(B58)+(B59)</f>
        <v>0</v>
      </c>
      <c r="C60" s="8">
        <f t="shared" si="31"/>
        <v>0</v>
      </c>
      <c r="D60" s="8">
        <f t="shared" si="31"/>
        <v>0</v>
      </c>
      <c r="E60" s="8">
        <f t="shared" si="31"/>
        <v>0</v>
      </c>
      <c r="F60" s="8">
        <f t="shared" si="31"/>
        <v>0</v>
      </c>
      <c r="G60" s="8">
        <f t="shared" si="31"/>
        <v>0</v>
      </c>
      <c r="H60" s="8">
        <f t="shared" si="31"/>
        <v>0</v>
      </c>
      <c r="I60" s="8">
        <f t="shared" si="31"/>
        <v>0</v>
      </c>
      <c r="J60" s="8">
        <f t="shared" si="31"/>
        <v>0</v>
      </c>
      <c r="K60" s="8">
        <f t="shared" si="31"/>
        <v>0</v>
      </c>
      <c r="L60" s="8">
        <f t="shared" si="31"/>
        <v>0</v>
      </c>
      <c r="M60" s="8">
        <f t="shared" si="31"/>
        <v>0</v>
      </c>
    </row>
    <row r="61" spans="1:13" x14ac:dyDescent="0.3">
      <c r="A61" s="5" t="s">
        <v>304</v>
      </c>
      <c r="B61" s="7">
        <f>0</f>
        <v>0</v>
      </c>
      <c r="C61" s="7">
        <f>0</f>
        <v>0</v>
      </c>
      <c r="D61" s="7">
        <f>396.91</f>
        <v>396.91</v>
      </c>
      <c r="E61" s="7">
        <f>0</f>
        <v>0</v>
      </c>
      <c r="F61" s="7">
        <f>-46376.04</f>
        <v>-46376.04</v>
      </c>
      <c r="G61" s="7">
        <f>0</f>
        <v>0</v>
      </c>
      <c r="H61" s="7">
        <f t="shared" ref="H61:M65" si="32">G61</f>
        <v>0</v>
      </c>
      <c r="I61" s="7">
        <f t="shared" si="32"/>
        <v>0</v>
      </c>
      <c r="J61" s="7">
        <f t="shared" si="32"/>
        <v>0</v>
      </c>
      <c r="K61" s="7">
        <f t="shared" si="32"/>
        <v>0</v>
      </c>
      <c r="L61" s="7">
        <f t="shared" si="32"/>
        <v>0</v>
      </c>
      <c r="M61" s="7">
        <f t="shared" si="32"/>
        <v>0</v>
      </c>
    </row>
    <row r="62" spans="1:13" x14ac:dyDescent="0.3">
      <c r="A62" s="5" t="s">
        <v>303</v>
      </c>
      <c r="B62" s="6"/>
      <c r="C62" s="7">
        <f t="shared" ref="C62:G65" si="33">B62</f>
        <v>0</v>
      </c>
      <c r="D62" s="7">
        <f t="shared" si="33"/>
        <v>0</v>
      </c>
      <c r="E62" s="7">
        <f t="shared" si="33"/>
        <v>0</v>
      </c>
      <c r="F62" s="7">
        <f t="shared" si="33"/>
        <v>0</v>
      </c>
      <c r="G62" s="7">
        <f t="shared" si="33"/>
        <v>0</v>
      </c>
      <c r="H62" s="7">
        <f t="shared" si="32"/>
        <v>0</v>
      </c>
      <c r="I62" s="7">
        <f t="shared" si="32"/>
        <v>0</v>
      </c>
      <c r="J62" s="7">
        <f t="shared" si="32"/>
        <v>0</v>
      </c>
      <c r="K62" s="7">
        <f t="shared" si="32"/>
        <v>0</v>
      </c>
      <c r="L62" s="7">
        <f t="shared" si="32"/>
        <v>0</v>
      </c>
      <c r="M62" s="7">
        <f t="shared" si="32"/>
        <v>0</v>
      </c>
    </row>
    <row r="63" spans="1:13" x14ac:dyDescent="0.3">
      <c r="A63" s="5" t="s">
        <v>302</v>
      </c>
      <c r="B63" s="7">
        <f>0</f>
        <v>0</v>
      </c>
      <c r="C63" s="7">
        <f t="shared" si="33"/>
        <v>0</v>
      </c>
      <c r="D63" s="7">
        <f t="shared" si="33"/>
        <v>0</v>
      </c>
      <c r="E63" s="7">
        <f t="shared" si="33"/>
        <v>0</v>
      </c>
      <c r="F63" s="7">
        <f t="shared" si="33"/>
        <v>0</v>
      </c>
      <c r="G63" s="7">
        <f t="shared" si="33"/>
        <v>0</v>
      </c>
      <c r="H63" s="7">
        <f t="shared" si="32"/>
        <v>0</v>
      </c>
      <c r="I63" s="7">
        <f t="shared" si="32"/>
        <v>0</v>
      </c>
      <c r="J63" s="7">
        <f t="shared" si="32"/>
        <v>0</v>
      </c>
      <c r="K63" s="7">
        <f t="shared" si="32"/>
        <v>0</v>
      </c>
      <c r="L63" s="7">
        <f t="shared" si="32"/>
        <v>0</v>
      </c>
      <c r="M63" s="7">
        <f t="shared" si="32"/>
        <v>0</v>
      </c>
    </row>
    <row r="64" spans="1:13" x14ac:dyDescent="0.3">
      <c r="A64" s="5" t="s">
        <v>301</v>
      </c>
      <c r="B64" s="7">
        <f>0</f>
        <v>0</v>
      </c>
      <c r="C64" s="7">
        <f t="shared" si="33"/>
        <v>0</v>
      </c>
      <c r="D64" s="7">
        <f t="shared" si="33"/>
        <v>0</v>
      </c>
      <c r="E64" s="7">
        <f t="shared" si="33"/>
        <v>0</v>
      </c>
      <c r="F64" s="7">
        <f t="shared" si="33"/>
        <v>0</v>
      </c>
      <c r="G64" s="7">
        <f t="shared" si="33"/>
        <v>0</v>
      </c>
      <c r="H64" s="7">
        <f t="shared" si="32"/>
        <v>0</v>
      </c>
      <c r="I64" s="7">
        <f t="shared" si="32"/>
        <v>0</v>
      </c>
      <c r="J64" s="7">
        <f t="shared" si="32"/>
        <v>0</v>
      </c>
      <c r="K64" s="7">
        <f t="shared" si="32"/>
        <v>0</v>
      </c>
      <c r="L64" s="7">
        <f t="shared" si="32"/>
        <v>0</v>
      </c>
      <c r="M64" s="7">
        <f t="shared" si="32"/>
        <v>0</v>
      </c>
    </row>
    <row r="65" spans="1:13" x14ac:dyDescent="0.3">
      <c r="A65" s="5" t="s">
        <v>300</v>
      </c>
      <c r="B65" s="7">
        <f>0</f>
        <v>0</v>
      </c>
      <c r="C65" s="7">
        <f t="shared" si="33"/>
        <v>0</v>
      </c>
      <c r="D65" s="7">
        <f t="shared" si="33"/>
        <v>0</v>
      </c>
      <c r="E65" s="7">
        <f t="shared" si="33"/>
        <v>0</v>
      </c>
      <c r="F65" s="7">
        <f t="shared" si="33"/>
        <v>0</v>
      </c>
      <c r="G65" s="7">
        <f t="shared" si="33"/>
        <v>0</v>
      </c>
      <c r="H65" s="7">
        <f t="shared" si="32"/>
        <v>0</v>
      </c>
      <c r="I65" s="7">
        <f t="shared" si="32"/>
        <v>0</v>
      </c>
      <c r="J65" s="7">
        <f t="shared" si="32"/>
        <v>0</v>
      </c>
      <c r="K65" s="7">
        <f t="shared" si="32"/>
        <v>0</v>
      </c>
      <c r="L65" s="7">
        <f t="shared" si="32"/>
        <v>0</v>
      </c>
      <c r="M65" s="7">
        <f t="shared" si="32"/>
        <v>0</v>
      </c>
    </row>
    <row r="66" spans="1:13" x14ac:dyDescent="0.3">
      <c r="A66" s="5" t="s">
        <v>299</v>
      </c>
      <c r="B66" s="8">
        <f t="shared" ref="B66:M66" si="34">(((B62)+(B63))+(B64))+(B65)</f>
        <v>0</v>
      </c>
      <c r="C66" s="8">
        <f t="shared" si="34"/>
        <v>0</v>
      </c>
      <c r="D66" s="8">
        <f t="shared" si="34"/>
        <v>0</v>
      </c>
      <c r="E66" s="8">
        <f t="shared" si="34"/>
        <v>0</v>
      </c>
      <c r="F66" s="8">
        <f t="shared" si="34"/>
        <v>0</v>
      </c>
      <c r="G66" s="8">
        <f t="shared" si="34"/>
        <v>0</v>
      </c>
      <c r="H66" s="8">
        <f t="shared" si="34"/>
        <v>0</v>
      </c>
      <c r="I66" s="8">
        <f t="shared" si="34"/>
        <v>0</v>
      </c>
      <c r="J66" s="8">
        <f t="shared" si="34"/>
        <v>0</v>
      </c>
      <c r="K66" s="8">
        <f t="shared" si="34"/>
        <v>0</v>
      </c>
      <c r="L66" s="8">
        <f t="shared" si="34"/>
        <v>0</v>
      </c>
      <c r="M66" s="8">
        <f t="shared" si="34"/>
        <v>0</v>
      </c>
    </row>
    <row r="67" spans="1:13" x14ac:dyDescent="0.3">
      <c r="A67" s="5" t="s">
        <v>298</v>
      </c>
      <c r="B67" s="7">
        <f>0</f>
        <v>0</v>
      </c>
      <c r="C67" s="7">
        <f t="shared" ref="C67:J67" si="35">B67</f>
        <v>0</v>
      </c>
      <c r="D67" s="7">
        <f t="shared" si="35"/>
        <v>0</v>
      </c>
      <c r="E67" s="7">
        <f t="shared" si="35"/>
        <v>0</v>
      </c>
      <c r="F67" s="7">
        <f t="shared" si="35"/>
        <v>0</v>
      </c>
      <c r="G67" s="7">
        <f t="shared" si="35"/>
        <v>0</v>
      </c>
      <c r="H67" s="7">
        <f t="shared" si="35"/>
        <v>0</v>
      </c>
      <c r="I67" s="7">
        <f t="shared" si="35"/>
        <v>0</v>
      </c>
      <c r="J67" s="7">
        <f t="shared" si="35"/>
        <v>0</v>
      </c>
      <c r="K67" s="7">
        <f>11029.96</f>
        <v>11029.96</v>
      </c>
      <c r="L67" s="7">
        <f>K67</f>
        <v>11029.96</v>
      </c>
      <c r="M67" s="7">
        <f>L67</f>
        <v>11029.96</v>
      </c>
    </row>
    <row r="68" spans="1:13" x14ac:dyDescent="0.3">
      <c r="A68" s="5" t="s">
        <v>297</v>
      </c>
      <c r="B68" s="8">
        <f t="shared" ref="B68:M68" si="36">((((((((B53)+(B54))+(B55))+(B56))+(B57))+(B60))+(B61))+(B66))+(B67)</f>
        <v>167517.82999999999</v>
      </c>
      <c r="C68" s="8">
        <f t="shared" si="36"/>
        <v>163002.94</v>
      </c>
      <c r="D68" s="8">
        <f t="shared" si="36"/>
        <v>158829.58000000002</v>
      </c>
      <c r="E68" s="8">
        <f t="shared" si="36"/>
        <v>153806.35</v>
      </c>
      <c r="F68" s="8">
        <f t="shared" si="36"/>
        <v>102747.25</v>
      </c>
      <c r="G68" s="8">
        <f t="shared" si="36"/>
        <v>144382.79</v>
      </c>
      <c r="H68" s="8">
        <f t="shared" si="36"/>
        <v>139584.14000000001</v>
      </c>
      <c r="I68" s="8">
        <f t="shared" si="36"/>
        <v>134726.64000000001</v>
      </c>
      <c r="J68" s="8">
        <f t="shared" si="36"/>
        <v>129809.56</v>
      </c>
      <c r="K68" s="8">
        <f t="shared" si="36"/>
        <v>135862.13</v>
      </c>
      <c r="L68" s="8">
        <f t="shared" si="36"/>
        <v>130823.70000000001</v>
      </c>
      <c r="M68" s="8">
        <f t="shared" si="36"/>
        <v>125723.47</v>
      </c>
    </row>
    <row r="69" spans="1:13" x14ac:dyDescent="0.3">
      <c r="A69" s="5" t="s">
        <v>296</v>
      </c>
      <c r="B69" s="8">
        <f t="shared" ref="B69:M69" si="37">((B35)+(B51))+(B68)</f>
        <v>333455.98</v>
      </c>
      <c r="C69" s="8">
        <f t="shared" si="37"/>
        <v>336981.57</v>
      </c>
      <c r="D69" s="8">
        <f t="shared" si="37"/>
        <v>430064.23000000004</v>
      </c>
      <c r="E69" s="8">
        <f t="shared" si="37"/>
        <v>390510.5</v>
      </c>
      <c r="F69" s="8">
        <f t="shared" si="37"/>
        <v>323304.18000000005</v>
      </c>
      <c r="G69" s="8">
        <f t="shared" si="37"/>
        <v>690177.88000000012</v>
      </c>
      <c r="H69" s="8">
        <f t="shared" si="37"/>
        <v>773764.19000000006</v>
      </c>
      <c r="I69" s="8">
        <f t="shared" si="37"/>
        <v>1042492.42</v>
      </c>
      <c r="J69" s="8">
        <f t="shared" si="37"/>
        <v>1219768.51</v>
      </c>
      <c r="K69" s="8">
        <f t="shared" si="37"/>
        <v>958892.75000000012</v>
      </c>
      <c r="L69" s="8">
        <f t="shared" si="37"/>
        <v>1476935.2</v>
      </c>
      <c r="M69" s="8">
        <f t="shared" si="37"/>
        <v>1277667.54</v>
      </c>
    </row>
    <row r="70" spans="1:13" x14ac:dyDescent="0.3">
      <c r="A70" s="5" t="s">
        <v>295</v>
      </c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</row>
    <row r="71" spans="1:13" x14ac:dyDescent="0.3">
      <c r="A71" s="5" t="s">
        <v>294</v>
      </c>
      <c r="B71" s="6"/>
      <c r="C71" s="7">
        <f t="shared" ref="C71:M71" si="38">B71</f>
        <v>0</v>
      </c>
      <c r="D71" s="7">
        <f t="shared" si="38"/>
        <v>0</v>
      </c>
      <c r="E71" s="7">
        <f t="shared" si="38"/>
        <v>0</v>
      </c>
      <c r="F71" s="7">
        <f t="shared" si="38"/>
        <v>0</v>
      </c>
      <c r="G71" s="7">
        <f t="shared" si="38"/>
        <v>0</v>
      </c>
      <c r="H71" s="7">
        <f t="shared" si="38"/>
        <v>0</v>
      </c>
      <c r="I71" s="7">
        <f t="shared" si="38"/>
        <v>0</v>
      </c>
      <c r="J71" s="7">
        <f t="shared" si="38"/>
        <v>0</v>
      </c>
      <c r="K71" s="7">
        <f t="shared" si="38"/>
        <v>0</v>
      </c>
      <c r="L71" s="7">
        <f t="shared" si="38"/>
        <v>0</v>
      </c>
      <c r="M71" s="7">
        <f t="shared" si="38"/>
        <v>0</v>
      </c>
    </row>
    <row r="72" spans="1:13" x14ac:dyDescent="0.3">
      <c r="A72" s="5" t="s">
        <v>293</v>
      </c>
      <c r="B72" s="7">
        <f>0</f>
        <v>0</v>
      </c>
      <c r="C72" s="7">
        <f t="shared" ref="C72:M72" si="39">B72</f>
        <v>0</v>
      </c>
      <c r="D72" s="7">
        <f t="shared" si="39"/>
        <v>0</v>
      </c>
      <c r="E72" s="7">
        <f t="shared" si="39"/>
        <v>0</v>
      </c>
      <c r="F72" s="7">
        <f t="shared" si="39"/>
        <v>0</v>
      </c>
      <c r="G72" s="7">
        <f t="shared" si="39"/>
        <v>0</v>
      </c>
      <c r="H72" s="7">
        <f t="shared" si="39"/>
        <v>0</v>
      </c>
      <c r="I72" s="7">
        <f t="shared" si="39"/>
        <v>0</v>
      </c>
      <c r="J72" s="7">
        <f t="shared" si="39"/>
        <v>0</v>
      </c>
      <c r="K72" s="7">
        <f t="shared" si="39"/>
        <v>0</v>
      </c>
      <c r="L72" s="7">
        <f t="shared" si="39"/>
        <v>0</v>
      </c>
      <c r="M72" s="7">
        <f t="shared" si="39"/>
        <v>0</v>
      </c>
    </row>
    <row r="73" spans="1:13" x14ac:dyDescent="0.3">
      <c r="A73" s="5" t="s">
        <v>292</v>
      </c>
      <c r="B73" s="7">
        <f>0</f>
        <v>0</v>
      </c>
      <c r="C73" s="7">
        <f t="shared" ref="C73:M73" si="40">B73</f>
        <v>0</v>
      </c>
      <c r="D73" s="7">
        <f t="shared" si="40"/>
        <v>0</v>
      </c>
      <c r="E73" s="7">
        <f t="shared" si="40"/>
        <v>0</v>
      </c>
      <c r="F73" s="7">
        <f t="shared" si="40"/>
        <v>0</v>
      </c>
      <c r="G73" s="7">
        <f t="shared" si="40"/>
        <v>0</v>
      </c>
      <c r="H73" s="7">
        <f t="shared" si="40"/>
        <v>0</v>
      </c>
      <c r="I73" s="7">
        <f t="shared" si="40"/>
        <v>0</v>
      </c>
      <c r="J73" s="7">
        <f t="shared" si="40"/>
        <v>0</v>
      </c>
      <c r="K73" s="7">
        <f t="shared" si="40"/>
        <v>0</v>
      </c>
      <c r="L73" s="7">
        <f t="shared" si="40"/>
        <v>0</v>
      </c>
      <c r="M73" s="7">
        <f t="shared" si="40"/>
        <v>0</v>
      </c>
    </row>
    <row r="74" spans="1:13" x14ac:dyDescent="0.3">
      <c r="A74" s="5" t="s">
        <v>291</v>
      </c>
      <c r="B74" s="8">
        <f t="shared" ref="B74:M74" si="41">(B72)+(B73)</f>
        <v>0</v>
      </c>
      <c r="C74" s="8">
        <f t="shared" si="41"/>
        <v>0</v>
      </c>
      <c r="D74" s="8">
        <f t="shared" si="41"/>
        <v>0</v>
      </c>
      <c r="E74" s="8">
        <f t="shared" si="41"/>
        <v>0</v>
      </c>
      <c r="F74" s="8">
        <f t="shared" si="41"/>
        <v>0</v>
      </c>
      <c r="G74" s="8">
        <f t="shared" si="41"/>
        <v>0</v>
      </c>
      <c r="H74" s="8">
        <f t="shared" si="41"/>
        <v>0</v>
      </c>
      <c r="I74" s="8">
        <f t="shared" si="41"/>
        <v>0</v>
      </c>
      <c r="J74" s="8">
        <f t="shared" si="41"/>
        <v>0</v>
      </c>
      <c r="K74" s="8">
        <f t="shared" si="41"/>
        <v>0</v>
      </c>
      <c r="L74" s="8">
        <f t="shared" si="41"/>
        <v>0</v>
      </c>
      <c r="M74" s="8">
        <f t="shared" si="41"/>
        <v>0</v>
      </c>
    </row>
    <row r="75" spans="1:13" x14ac:dyDescent="0.3">
      <c r="A75" s="5" t="s">
        <v>290</v>
      </c>
      <c r="B75" s="7">
        <f>0</f>
        <v>0</v>
      </c>
      <c r="C75" s="7">
        <f t="shared" ref="C75:M75" si="42">B75</f>
        <v>0</v>
      </c>
      <c r="D75" s="7">
        <f t="shared" si="42"/>
        <v>0</v>
      </c>
      <c r="E75" s="7">
        <f t="shared" si="42"/>
        <v>0</v>
      </c>
      <c r="F75" s="7">
        <f t="shared" si="42"/>
        <v>0</v>
      </c>
      <c r="G75" s="7">
        <f t="shared" si="42"/>
        <v>0</v>
      </c>
      <c r="H75" s="7">
        <f t="shared" si="42"/>
        <v>0</v>
      </c>
      <c r="I75" s="7">
        <f t="shared" si="42"/>
        <v>0</v>
      </c>
      <c r="J75" s="7">
        <f t="shared" si="42"/>
        <v>0</v>
      </c>
      <c r="K75" s="7">
        <f t="shared" si="42"/>
        <v>0</v>
      </c>
      <c r="L75" s="7">
        <f t="shared" si="42"/>
        <v>0</v>
      </c>
      <c r="M75" s="7">
        <f t="shared" si="42"/>
        <v>0</v>
      </c>
    </row>
    <row r="76" spans="1:13" x14ac:dyDescent="0.3">
      <c r="A76" s="5" t="s">
        <v>289</v>
      </c>
      <c r="B76" s="7">
        <f>0</f>
        <v>0</v>
      </c>
      <c r="C76" s="7">
        <f t="shared" ref="C76:M76" si="43">B76</f>
        <v>0</v>
      </c>
      <c r="D76" s="7">
        <f t="shared" si="43"/>
        <v>0</v>
      </c>
      <c r="E76" s="7">
        <f t="shared" si="43"/>
        <v>0</v>
      </c>
      <c r="F76" s="7">
        <f t="shared" si="43"/>
        <v>0</v>
      </c>
      <c r="G76" s="7">
        <f t="shared" si="43"/>
        <v>0</v>
      </c>
      <c r="H76" s="7">
        <f t="shared" si="43"/>
        <v>0</v>
      </c>
      <c r="I76" s="7">
        <f t="shared" si="43"/>
        <v>0</v>
      </c>
      <c r="J76" s="7">
        <f t="shared" si="43"/>
        <v>0</v>
      </c>
      <c r="K76" s="7">
        <f t="shared" si="43"/>
        <v>0</v>
      </c>
      <c r="L76" s="7">
        <f t="shared" si="43"/>
        <v>0</v>
      </c>
      <c r="M76" s="7">
        <f t="shared" si="43"/>
        <v>0</v>
      </c>
    </row>
    <row r="77" spans="1:13" x14ac:dyDescent="0.3">
      <c r="A77" s="5" t="s">
        <v>288</v>
      </c>
      <c r="B77" s="8">
        <f t="shared" ref="B77:M77" si="44">(B75)+(B76)</f>
        <v>0</v>
      </c>
      <c r="C77" s="8">
        <f t="shared" si="44"/>
        <v>0</v>
      </c>
      <c r="D77" s="8">
        <f t="shared" si="44"/>
        <v>0</v>
      </c>
      <c r="E77" s="8">
        <f t="shared" si="44"/>
        <v>0</v>
      </c>
      <c r="F77" s="8">
        <f t="shared" si="44"/>
        <v>0</v>
      </c>
      <c r="G77" s="8">
        <f t="shared" si="44"/>
        <v>0</v>
      </c>
      <c r="H77" s="8">
        <f t="shared" si="44"/>
        <v>0</v>
      </c>
      <c r="I77" s="8">
        <f t="shared" si="44"/>
        <v>0</v>
      </c>
      <c r="J77" s="8">
        <f t="shared" si="44"/>
        <v>0</v>
      </c>
      <c r="K77" s="8">
        <f t="shared" si="44"/>
        <v>0</v>
      </c>
      <c r="L77" s="8">
        <f t="shared" si="44"/>
        <v>0</v>
      </c>
      <c r="M77" s="8">
        <f t="shared" si="44"/>
        <v>0</v>
      </c>
    </row>
    <row r="78" spans="1:13" x14ac:dyDescent="0.3">
      <c r="A78" s="5" t="s">
        <v>287</v>
      </c>
      <c r="B78" s="7">
        <f>0</f>
        <v>0</v>
      </c>
      <c r="C78" s="7">
        <f t="shared" ref="C78:M78" si="45">B78</f>
        <v>0</v>
      </c>
      <c r="D78" s="7">
        <f t="shared" si="45"/>
        <v>0</v>
      </c>
      <c r="E78" s="7">
        <f t="shared" si="45"/>
        <v>0</v>
      </c>
      <c r="F78" s="7">
        <f t="shared" si="45"/>
        <v>0</v>
      </c>
      <c r="G78" s="7">
        <f t="shared" si="45"/>
        <v>0</v>
      </c>
      <c r="H78" s="7">
        <f t="shared" si="45"/>
        <v>0</v>
      </c>
      <c r="I78" s="7">
        <f t="shared" si="45"/>
        <v>0</v>
      </c>
      <c r="J78" s="7">
        <f t="shared" si="45"/>
        <v>0</v>
      </c>
      <c r="K78" s="7">
        <f t="shared" si="45"/>
        <v>0</v>
      </c>
      <c r="L78" s="7">
        <f t="shared" si="45"/>
        <v>0</v>
      </c>
      <c r="M78" s="7">
        <f t="shared" si="45"/>
        <v>0</v>
      </c>
    </row>
    <row r="79" spans="1:13" x14ac:dyDescent="0.3">
      <c r="A79" s="5" t="s">
        <v>286</v>
      </c>
      <c r="B79" s="7">
        <f>0</f>
        <v>0</v>
      </c>
      <c r="C79" s="7">
        <f t="shared" ref="C79:M79" si="46">B79</f>
        <v>0</v>
      </c>
      <c r="D79" s="7">
        <f t="shared" si="46"/>
        <v>0</v>
      </c>
      <c r="E79" s="7">
        <f t="shared" si="46"/>
        <v>0</v>
      </c>
      <c r="F79" s="7">
        <f t="shared" si="46"/>
        <v>0</v>
      </c>
      <c r="G79" s="7">
        <f t="shared" si="46"/>
        <v>0</v>
      </c>
      <c r="H79" s="7">
        <f t="shared" si="46"/>
        <v>0</v>
      </c>
      <c r="I79" s="7">
        <f t="shared" si="46"/>
        <v>0</v>
      </c>
      <c r="J79" s="7">
        <f t="shared" si="46"/>
        <v>0</v>
      </c>
      <c r="K79" s="7">
        <f t="shared" si="46"/>
        <v>0</v>
      </c>
      <c r="L79" s="7">
        <f t="shared" si="46"/>
        <v>0</v>
      </c>
      <c r="M79" s="7">
        <f t="shared" si="46"/>
        <v>0</v>
      </c>
    </row>
    <row r="80" spans="1:13" x14ac:dyDescent="0.3">
      <c r="A80" s="5" t="s">
        <v>285</v>
      </c>
      <c r="B80" s="8">
        <f t="shared" ref="B80:M80" si="47">(B78)+(B79)</f>
        <v>0</v>
      </c>
      <c r="C80" s="8">
        <f t="shared" si="47"/>
        <v>0</v>
      </c>
      <c r="D80" s="8">
        <f t="shared" si="47"/>
        <v>0</v>
      </c>
      <c r="E80" s="8">
        <f t="shared" si="47"/>
        <v>0</v>
      </c>
      <c r="F80" s="8">
        <f t="shared" si="47"/>
        <v>0</v>
      </c>
      <c r="G80" s="8">
        <f t="shared" si="47"/>
        <v>0</v>
      </c>
      <c r="H80" s="8">
        <f t="shared" si="47"/>
        <v>0</v>
      </c>
      <c r="I80" s="8">
        <f t="shared" si="47"/>
        <v>0</v>
      </c>
      <c r="J80" s="8">
        <f t="shared" si="47"/>
        <v>0</v>
      </c>
      <c r="K80" s="8">
        <f t="shared" si="47"/>
        <v>0</v>
      </c>
      <c r="L80" s="8">
        <f t="shared" si="47"/>
        <v>0</v>
      </c>
      <c r="M80" s="8">
        <f t="shared" si="47"/>
        <v>0</v>
      </c>
    </row>
    <row r="81" spans="1:13" x14ac:dyDescent="0.3">
      <c r="A81" s="5" t="s">
        <v>284</v>
      </c>
      <c r="B81" s="8">
        <f t="shared" ref="B81:M81" si="48">(((B71)+(B74))+(B77))+(B80)</f>
        <v>0</v>
      </c>
      <c r="C81" s="8">
        <f t="shared" si="48"/>
        <v>0</v>
      </c>
      <c r="D81" s="8">
        <f t="shared" si="48"/>
        <v>0</v>
      </c>
      <c r="E81" s="8">
        <f t="shared" si="48"/>
        <v>0</v>
      </c>
      <c r="F81" s="8">
        <f t="shared" si="48"/>
        <v>0</v>
      </c>
      <c r="G81" s="8">
        <f t="shared" si="48"/>
        <v>0</v>
      </c>
      <c r="H81" s="8">
        <f t="shared" si="48"/>
        <v>0</v>
      </c>
      <c r="I81" s="8">
        <f t="shared" si="48"/>
        <v>0</v>
      </c>
      <c r="J81" s="8">
        <f t="shared" si="48"/>
        <v>0</v>
      </c>
      <c r="K81" s="8">
        <f t="shared" si="48"/>
        <v>0</v>
      </c>
      <c r="L81" s="8">
        <f t="shared" si="48"/>
        <v>0</v>
      </c>
      <c r="M81" s="8">
        <f t="shared" si="48"/>
        <v>0</v>
      </c>
    </row>
    <row r="82" spans="1:13" x14ac:dyDescent="0.3">
      <c r="A82" s="5" t="s">
        <v>283</v>
      </c>
      <c r="B82" s="8">
        <f t="shared" ref="B82:M82" si="49">B81</f>
        <v>0</v>
      </c>
      <c r="C82" s="8">
        <f t="shared" si="49"/>
        <v>0</v>
      </c>
      <c r="D82" s="8">
        <f t="shared" si="49"/>
        <v>0</v>
      </c>
      <c r="E82" s="8">
        <f t="shared" si="49"/>
        <v>0</v>
      </c>
      <c r="F82" s="8">
        <f t="shared" si="49"/>
        <v>0</v>
      </c>
      <c r="G82" s="8">
        <f t="shared" si="49"/>
        <v>0</v>
      </c>
      <c r="H82" s="8">
        <f t="shared" si="49"/>
        <v>0</v>
      </c>
      <c r="I82" s="8">
        <f t="shared" si="49"/>
        <v>0</v>
      </c>
      <c r="J82" s="8">
        <f t="shared" si="49"/>
        <v>0</v>
      </c>
      <c r="K82" s="8">
        <f t="shared" si="49"/>
        <v>0</v>
      </c>
      <c r="L82" s="8">
        <f t="shared" si="49"/>
        <v>0</v>
      </c>
      <c r="M82" s="8">
        <f t="shared" si="49"/>
        <v>0</v>
      </c>
    </row>
    <row r="83" spans="1:13" x14ac:dyDescent="0.3">
      <c r="A83" s="5" t="s">
        <v>282</v>
      </c>
      <c r="B83" s="8">
        <f t="shared" ref="B83:M83" si="50">(B69)+(B82)</f>
        <v>333455.98</v>
      </c>
      <c r="C83" s="8">
        <f t="shared" si="50"/>
        <v>336981.57</v>
      </c>
      <c r="D83" s="8">
        <f t="shared" si="50"/>
        <v>430064.23000000004</v>
      </c>
      <c r="E83" s="8">
        <f t="shared" si="50"/>
        <v>390510.5</v>
      </c>
      <c r="F83" s="8">
        <f t="shared" si="50"/>
        <v>323304.18000000005</v>
      </c>
      <c r="G83" s="8">
        <f t="shared" si="50"/>
        <v>690177.88000000012</v>
      </c>
      <c r="H83" s="8">
        <f t="shared" si="50"/>
        <v>773764.19000000006</v>
      </c>
      <c r="I83" s="8">
        <f t="shared" si="50"/>
        <v>1042492.42</v>
      </c>
      <c r="J83" s="8">
        <f t="shared" si="50"/>
        <v>1219768.51</v>
      </c>
      <c r="K83" s="8">
        <f t="shared" si="50"/>
        <v>958892.75000000012</v>
      </c>
      <c r="L83" s="8">
        <f t="shared" si="50"/>
        <v>1476935.2</v>
      </c>
      <c r="M83" s="8">
        <f t="shared" si="50"/>
        <v>1277667.54</v>
      </c>
    </row>
    <row r="84" spans="1:13" x14ac:dyDescent="0.3">
      <c r="A84" s="5" t="s">
        <v>281</v>
      </c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</row>
    <row r="85" spans="1:13" x14ac:dyDescent="0.3">
      <c r="A85" s="5" t="s">
        <v>280</v>
      </c>
      <c r="B85" s="7">
        <f>5000</f>
        <v>5000</v>
      </c>
      <c r="C85" s="7">
        <f t="shared" ref="C85:M85" si="51">B85</f>
        <v>5000</v>
      </c>
      <c r="D85" s="7">
        <f t="shared" si="51"/>
        <v>5000</v>
      </c>
      <c r="E85" s="7">
        <f t="shared" si="51"/>
        <v>5000</v>
      </c>
      <c r="F85" s="7">
        <f t="shared" si="51"/>
        <v>5000</v>
      </c>
      <c r="G85" s="7">
        <f t="shared" si="51"/>
        <v>5000</v>
      </c>
      <c r="H85" s="7">
        <f t="shared" si="51"/>
        <v>5000</v>
      </c>
      <c r="I85" s="7">
        <f t="shared" si="51"/>
        <v>5000</v>
      </c>
      <c r="J85" s="7">
        <f t="shared" si="51"/>
        <v>5000</v>
      </c>
      <c r="K85" s="7">
        <f t="shared" si="51"/>
        <v>5000</v>
      </c>
      <c r="L85" s="7">
        <f t="shared" si="51"/>
        <v>5000</v>
      </c>
      <c r="M85" s="7">
        <f t="shared" si="51"/>
        <v>5000</v>
      </c>
    </row>
    <row r="86" spans="1:13" x14ac:dyDescent="0.3">
      <c r="A86" s="5" t="s">
        <v>279</v>
      </c>
      <c r="B86" s="6"/>
      <c r="C86" s="7">
        <f t="shared" ref="C86:M86" si="52">B86</f>
        <v>0</v>
      </c>
      <c r="D86" s="7">
        <f t="shared" si="52"/>
        <v>0</v>
      </c>
      <c r="E86" s="7">
        <f t="shared" si="52"/>
        <v>0</v>
      </c>
      <c r="F86" s="7">
        <f t="shared" si="52"/>
        <v>0</v>
      </c>
      <c r="G86" s="7">
        <f t="shared" si="52"/>
        <v>0</v>
      </c>
      <c r="H86" s="7">
        <f t="shared" si="52"/>
        <v>0</v>
      </c>
      <c r="I86" s="7">
        <f t="shared" si="52"/>
        <v>0</v>
      </c>
      <c r="J86" s="7">
        <f t="shared" si="52"/>
        <v>0</v>
      </c>
      <c r="K86" s="7">
        <f t="shared" si="52"/>
        <v>0</v>
      </c>
      <c r="L86" s="7">
        <f t="shared" si="52"/>
        <v>0</v>
      </c>
      <c r="M86" s="7">
        <f t="shared" si="52"/>
        <v>0</v>
      </c>
    </row>
    <row r="87" spans="1:13" x14ac:dyDescent="0.3">
      <c r="A87" s="5" t="s">
        <v>278</v>
      </c>
      <c r="B87" s="6"/>
      <c r="C87" s="7">
        <f t="shared" ref="C87:M87" si="53">B87</f>
        <v>0</v>
      </c>
      <c r="D87" s="7">
        <f t="shared" si="53"/>
        <v>0</v>
      </c>
      <c r="E87" s="7">
        <f t="shared" si="53"/>
        <v>0</v>
      </c>
      <c r="F87" s="7">
        <f t="shared" si="53"/>
        <v>0</v>
      </c>
      <c r="G87" s="7">
        <f t="shared" si="53"/>
        <v>0</v>
      </c>
      <c r="H87" s="7">
        <f t="shared" si="53"/>
        <v>0</v>
      </c>
      <c r="I87" s="7">
        <f t="shared" si="53"/>
        <v>0</v>
      </c>
      <c r="J87" s="7">
        <f t="shared" si="53"/>
        <v>0</v>
      </c>
      <c r="K87" s="7">
        <f t="shared" si="53"/>
        <v>0</v>
      </c>
      <c r="L87" s="7">
        <f t="shared" si="53"/>
        <v>0</v>
      </c>
      <c r="M87" s="7">
        <f t="shared" si="53"/>
        <v>0</v>
      </c>
    </row>
    <row r="88" spans="1:13" x14ac:dyDescent="0.3">
      <c r="A88" s="5" t="s">
        <v>277</v>
      </c>
      <c r="B88" s="7">
        <f>0</f>
        <v>0</v>
      </c>
      <c r="C88" s="7">
        <f t="shared" ref="C88:M88" si="54">B88</f>
        <v>0</v>
      </c>
      <c r="D88" s="7">
        <f t="shared" si="54"/>
        <v>0</v>
      </c>
      <c r="E88" s="7">
        <f t="shared" si="54"/>
        <v>0</v>
      </c>
      <c r="F88" s="7">
        <f t="shared" si="54"/>
        <v>0</v>
      </c>
      <c r="G88" s="7">
        <f t="shared" si="54"/>
        <v>0</v>
      </c>
      <c r="H88" s="7">
        <f t="shared" si="54"/>
        <v>0</v>
      </c>
      <c r="I88" s="7">
        <f t="shared" si="54"/>
        <v>0</v>
      </c>
      <c r="J88" s="7">
        <f t="shared" si="54"/>
        <v>0</v>
      </c>
      <c r="K88" s="7">
        <f t="shared" si="54"/>
        <v>0</v>
      </c>
      <c r="L88" s="7">
        <f t="shared" si="54"/>
        <v>0</v>
      </c>
      <c r="M88" s="7">
        <f t="shared" si="54"/>
        <v>0</v>
      </c>
    </row>
    <row r="89" spans="1:13" x14ac:dyDescent="0.3">
      <c r="A89" s="5" t="s">
        <v>276</v>
      </c>
      <c r="B89" s="7">
        <f>0</f>
        <v>0</v>
      </c>
      <c r="C89" s="7">
        <f t="shared" ref="C89:M89" si="55">B89</f>
        <v>0</v>
      </c>
      <c r="D89" s="7">
        <f t="shared" si="55"/>
        <v>0</v>
      </c>
      <c r="E89" s="7">
        <f t="shared" si="55"/>
        <v>0</v>
      </c>
      <c r="F89" s="7">
        <f t="shared" si="55"/>
        <v>0</v>
      </c>
      <c r="G89" s="7">
        <f t="shared" si="55"/>
        <v>0</v>
      </c>
      <c r="H89" s="7">
        <f t="shared" si="55"/>
        <v>0</v>
      </c>
      <c r="I89" s="7">
        <f t="shared" si="55"/>
        <v>0</v>
      </c>
      <c r="J89" s="7">
        <f t="shared" si="55"/>
        <v>0</v>
      </c>
      <c r="K89" s="7">
        <f t="shared" si="55"/>
        <v>0</v>
      </c>
      <c r="L89" s="7">
        <f t="shared" si="55"/>
        <v>0</v>
      </c>
      <c r="M89" s="7">
        <f t="shared" si="55"/>
        <v>0</v>
      </c>
    </row>
    <row r="90" spans="1:13" x14ac:dyDescent="0.3">
      <c r="A90" s="5" t="s">
        <v>275</v>
      </c>
      <c r="B90" s="8">
        <f t="shared" ref="B90:M90" si="56">((B87)+(B88))+(B89)</f>
        <v>0</v>
      </c>
      <c r="C90" s="8">
        <f t="shared" si="56"/>
        <v>0</v>
      </c>
      <c r="D90" s="8">
        <f t="shared" si="56"/>
        <v>0</v>
      </c>
      <c r="E90" s="8">
        <f t="shared" si="56"/>
        <v>0</v>
      </c>
      <c r="F90" s="8">
        <f t="shared" si="56"/>
        <v>0</v>
      </c>
      <c r="G90" s="8">
        <f t="shared" si="56"/>
        <v>0</v>
      </c>
      <c r="H90" s="8">
        <f t="shared" si="56"/>
        <v>0</v>
      </c>
      <c r="I90" s="8">
        <f t="shared" si="56"/>
        <v>0</v>
      </c>
      <c r="J90" s="8">
        <f t="shared" si="56"/>
        <v>0</v>
      </c>
      <c r="K90" s="8">
        <f t="shared" si="56"/>
        <v>0</v>
      </c>
      <c r="L90" s="8">
        <f t="shared" si="56"/>
        <v>0</v>
      </c>
      <c r="M90" s="8">
        <f t="shared" si="56"/>
        <v>0</v>
      </c>
    </row>
    <row r="91" spans="1:13" x14ac:dyDescent="0.3">
      <c r="A91" s="5" t="s">
        <v>274</v>
      </c>
      <c r="B91" s="6"/>
      <c r="C91" s="7">
        <f t="shared" ref="C91:M91" si="57">B91</f>
        <v>0</v>
      </c>
      <c r="D91" s="7">
        <f t="shared" si="57"/>
        <v>0</v>
      </c>
      <c r="E91" s="7">
        <f t="shared" si="57"/>
        <v>0</v>
      </c>
      <c r="F91" s="7">
        <f t="shared" si="57"/>
        <v>0</v>
      </c>
      <c r="G91" s="7">
        <f t="shared" si="57"/>
        <v>0</v>
      </c>
      <c r="H91" s="7">
        <f t="shared" si="57"/>
        <v>0</v>
      </c>
      <c r="I91" s="7">
        <f t="shared" si="57"/>
        <v>0</v>
      </c>
      <c r="J91" s="7">
        <f t="shared" si="57"/>
        <v>0</v>
      </c>
      <c r="K91" s="7">
        <f t="shared" si="57"/>
        <v>0</v>
      </c>
      <c r="L91" s="7">
        <f t="shared" si="57"/>
        <v>0</v>
      </c>
      <c r="M91" s="7">
        <f t="shared" si="57"/>
        <v>0</v>
      </c>
    </row>
    <row r="92" spans="1:13" x14ac:dyDescent="0.3">
      <c r="A92" s="5" t="s">
        <v>273</v>
      </c>
      <c r="B92" s="7">
        <f>0</f>
        <v>0</v>
      </c>
      <c r="C92" s="7">
        <f t="shared" ref="C92:M92" si="58">B92</f>
        <v>0</v>
      </c>
      <c r="D92" s="7">
        <f t="shared" si="58"/>
        <v>0</v>
      </c>
      <c r="E92" s="7">
        <f t="shared" si="58"/>
        <v>0</v>
      </c>
      <c r="F92" s="7">
        <f t="shared" si="58"/>
        <v>0</v>
      </c>
      <c r="G92" s="7">
        <f t="shared" si="58"/>
        <v>0</v>
      </c>
      <c r="H92" s="7">
        <f t="shared" si="58"/>
        <v>0</v>
      </c>
      <c r="I92" s="7">
        <f t="shared" si="58"/>
        <v>0</v>
      </c>
      <c r="J92" s="7">
        <f t="shared" si="58"/>
        <v>0</v>
      </c>
      <c r="K92" s="7">
        <f t="shared" si="58"/>
        <v>0</v>
      </c>
      <c r="L92" s="7">
        <f t="shared" si="58"/>
        <v>0</v>
      </c>
      <c r="M92" s="7">
        <f t="shared" si="58"/>
        <v>0</v>
      </c>
    </row>
    <row r="93" spans="1:13" x14ac:dyDescent="0.3">
      <c r="A93" s="5" t="s">
        <v>272</v>
      </c>
      <c r="B93" s="8">
        <f t="shared" ref="B93:M93" si="59">(B91)+(B92)</f>
        <v>0</v>
      </c>
      <c r="C93" s="8">
        <f t="shared" si="59"/>
        <v>0</v>
      </c>
      <c r="D93" s="8">
        <f t="shared" si="59"/>
        <v>0</v>
      </c>
      <c r="E93" s="8">
        <f t="shared" si="59"/>
        <v>0</v>
      </c>
      <c r="F93" s="8">
        <f t="shared" si="59"/>
        <v>0</v>
      </c>
      <c r="G93" s="8">
        <f t="shared" si="59"/>
        <v>0</v>
      </c>
      <c r="H93" s="8">
        <f t="shared" si="59"/>
        <v>0</v>
      </c>
      <c r="I93" s="8">
        <f t="shared" si="59"/>
        <v>0</v>
      </c>
      <c r="J93" s="8">
        <f t="shared" si="59"/>
        <v>0</v>
      </c>
      <c r="K93" s="8">
        <f t="shared" si="59"/>
        <v>0</v>
      </c>
      <c r="L93" s="8">
        <f t="shared" si="59"/>
        <v>0</v>
      </c>
      <c r="M93" s="8">
        <f t="shared" si="59"/>
        <v>0</v>
      </c>
    </row>
    <row r="94" spans="1:13" x14ac:dyDescent="0.3">
      <c r="A94" s="5" t="s">
        <v>271</v>
      </c>
      <c r="B94" s="8">
        <f t="shared" ref="B94:M94" si="60">((B86)+(B90))+(B93)</f>
        <v>0</v>
      </c>
      <c r="C94" s="8">
        <f t="shared" si="60"/>
        <v>0</v>
      </c>
      <c r="D94" s="8">
        <f t="shared" si="60"/>
        <v>0</v>
      </c>
      <c r="E94" s="8">
        <f t="shared" si="60"/>
        <v>0</v>
      </c>
      <c r="F94" s="8">
        <f t="shared" si="60"/>
        <v>0</v>
      </c>
      <c r="G94" s="8">
        <f t="shared" si="60"/>
        <v>0</v>
      </c>
      <c r="H94" s="8">
        <f t="shared" si="60"/>
        <v>0</v>
      </c>
      <c r="I94" s="8">
        <f t="shared" si="60"/>
        <v>0</v>
      </c>
      <c r="J94" s="8">
        <f t="shared" si="60"/>
        <v>0</v>
      </c>
      <c r="K94" s="8">
        <f t="shared" si="60"/>
        <v>0</v>
      </c>
      <c r="L94" s="8">
        <f t="shared" si="60"/>
        <v>0</v>
      </c>
      <c r="M94" s="8">
        <f t="shared" si="60"/>
        <v>0</v>
      </c>
    </row>
    <row r="95" spans="1:13" x14ac:dyDescent="0.3">
      <c r="A95" s="5" t="s">
        <v>270</v>
      </c>
      <c r="B95" s="7">
        <f>-381045.49</f>
        <v>-381045.49</v>
      </c>
      <c r="C95" s="7">
        <f t="shared" ref="C95:M95" si="61">B95</f>
        <v>-381045.49</v>
      </c>
      <c r="D95" s="7">
        <f t="shared" si="61"/>
        <v>-381045.49</v>
      </c>
      <c r="E95" s="7">
        <f t="shared" si="61"/>
        <v>-381045.49</v>
      </c>
      <c r="F95" s="7">
        <f t="shared" si="61"/>
        <v>-381045.49</v>
      </c>
      <c r="G95" s="7">
        <f t="shared" si="61"/>
        <v>-381045.49</v>
      </c>
      <c r="H95" s="7">
        <f t="shared" si="61"/>
        <v>-381045.49</v>
      </c>
      <c r="I95" s="7">
        <f t="shared" si="61"/>
        <v>-381045.49</v>
      </c>
      <c r="J95" s="7">
        <f t="shared" si="61"/>
        <v>-381045.49</v>
      </c>
      <c r="K95" s="7">
        <f t="shared" si="61"/>
        <v>-381045.49</v>
      </c>
      <c r="L95" s="7">
        <f t="shared" si="61"/>
        <v>-381045.49</v>
      </c>
      <c r="M95" s="7">
        <f t="shared" si="61"/>
        <v>-381045.49</v>
      </c>
    </row>
    <row r="96" spans="1:13" x14ac:dyDescent="0.3">
      <c r="A96" s="5" t="s">
        <v>269</v>
      </c>
      <c r="B96" s="7">
        <f>56315.07</f>
        <v>56315.07</v>
      </c>
      <c r="C96" s="7">
        <f t="shared" ref="C96:M96" si="62">B96</f>
        <v>56315.07</v>
      </c>
      <c r="D96" s="7">
        <f t="shared" si="62"/>
        <v>56315.07</v>
      </c>
      <c r="E96" s="7">
        <f t="shared" si="62"/>
        <v>56315.07</v>
      </c>
      <c r="F96" s="7">
        <f t="shared" si="62"/>
        <v>56315.07</v>
      </c>
      <c r="G96" s="7">
        <f t="shared" si="62"/>
        <v>56315.07</v>
      </c>
      <c r="H96" s="7">
        <f t="shared" si="62"/>
        <v>56315.07</v>
      </c>
      <c r="I96" s="7">
        <f t="shared" si="62"/>
        <v>56315.07</v>
      </c>
      <c r="J96" s="7">
        <f t="shared" si="62"/>
        <v>56315.07</v>
      </c>
      <c r="K96" s="7">
        <f t="shared" si="62"/>
        <v>56315.07</v>
      </c>
      <c r="L96" s="7">
        <f t="shared" si="62"/>
        <v>56315.07</v>
      </c>
      <c r="M96" s="7">
        <f t="shared" si="62"/>
        <v>56315.07</v>
      </c>
    </row>
    <row r="97" spans="1:13" x14ac:dyDescent="0.3">
      <c r="A97" s="5" t="s">
        <v>268</v>
      </c>
      <c r="B97" s="7">
        <f>73649.32</f>
        <v>73649.320000000007</v>
      </c>
      <c r="C97" s="7">
        <f t="shared" ref="C97:M97" si="63">B97</f>
        <v>73649.320000000007</v>
      </c>
      <c r="D97" s="7">
        <f t="shared" si="63"/>
        <v>73649.320000000007</v>
      </c>
      <c r="E97" s="7">
        <f t="shared" si="63"/>
        <v>73649.320000000007</v>
      </c>
      <c r="F97" s="7">
        <f t="shared" si="63"/>
        <v>73649.320000000007</v>
      </c>
      <c r="G97" s="7">
        <f t="shared" si="63"/>
        <v>73649.320000000007</v>
      </c>
      <c r="H97" s="7">
        <f t="shared" si="63"/>
        <v>73649.320000000007</v>
      </c>
      <c r="I97" s="7">
        <f t="shared" si="63"/>
        <v>73649.320000000007</v>
      </c>
      <c r="J97" s="7">
        <f t="shared" si="63"/>
        <v>73649.320000000007</v>
      </c>
      <c r="K97" s="7">
        <f t="shared" si="63"/>
        <v>73649.320000000007</v>
      </c>
      <c r="L97" s="7">
        <f t="shared" si="63"/>
        <v>73649.320000000007</v>
      </c>
      <c r="M97" s="7">
        <f t="shared" si="63"/>
        <v>73649.320000000007</v>
      </c>
    </row>
    <row r="98" spans="1:13" x14ac:dyDescent="0.3">
      <c r="A98" s="5" t="s">
        <v>267</v>
      </c>
      <c r="B98" s="7">
        <f>165139.95</f>
        <v>165139.95000000001</v>
      </c>
      <c r="C98" s="7">
        <f t="shared" ref="C98:M98" si="64">B98</f>
        <v>165139.95000000001</v>
      </c>
      <c r="D98" s="7">
        <f t="shared" si="64"/>
        <v>165139.95000000001</v>
      </c>
      <c r="E98" s="7">
        <f t="shared" si="64"/>
        <v>165139.95000000001</v>
      </c>
      <c r="F98" s="7">
        <f t="shared" si="64"/>
        <v>165139.95000000001</v>
      </c>
      <c r="G98" s="7">
        <f t="shared" si="64"/>
        <v>165139.95000000001</v>
      </c>
      <c r="H98" s="7">
        <f t="shared" si="64"/>
        <v>165139.95000000001</v>
      </c>
      <c r="I98" s="7">
        <f t="shared" si="64"/>
        <v>165139.95000000001</v>
      </c>
      <c r="J98" s="7">
        <f t="shared" si="64"/>
        <v>165139.95000000001</v>
      </c>
      <c r="K98" s="7">
        <f t="shared" si="64"/>
        <v>165139.95000000001</v>
      </c>
      <c r="L98" s="7">
        <f t="shared" si="64"/>
        <v>165139.95000000001</v>
      </c>
      <c r="M98" s="7">
        <f t="shared" si="64"/>
        <v>165139.95000000001</v>
      </c>
    </row>
    <row r="99" spans="1:13" x14ac:dyDescent="0.3">
      <c r="A99" s="5" t="s">
        <v>266</v>
      </c>
      <c r="B99" s="7">
        <f>746515.05</f>
        <v>746515.05</v>
      </c>
      <c r="C99" s="7">
        <f>B99</f>
        <v>746515.05</v>
      </c>
      <c r="D99" s="7">
        <f>C99</f>
        <v>746515.05</v>
      </c>
      <c r="E99" s="7">
        <f>D99</f>
        <v>746515.05</v>
      </c>
      <c r="F99" s="7">
        <f>946517.07</f>
        <v>946517.07</v>
      </c>
      <c r="G99" s="7">
        <f>961520.82</f>
        <v>961520.82</v>
      </c>
      <c r="H99" s="7">
        <f>1461520.82</f>
        <v>1461520.82</v>
      </c>
      <c r="I99" s="7">
        <f>1471521.23</f>
        <v>1471521.23</v>
      </c>
      <c r="J99" s="7">
        <f>I99</f>
        <v>1471521.23</v>
      </c>
      <c r="K99" s="7">
        <f>J99</f>
        <v>1471521.23</v>
      </c>
      <c r="L99" s="7">
        <f>K99</f>
        <v>1471521.23</v>
      </c>
      <c r="M99" s="7">
        <f>1471521.94</f>
        <v>1471521.94</v>
      </c>
    </row>
    <row r="100" spans="1:13" x14ac:dyDescent="0.3">
      <c r="A100" s="5" t="s">
        <v>265</v>
      </c>
      <c r="B100" s="7">
        <f>-26086.46</f>
        <v>-26086.46</v>
      </c>
      <c r="C100" s="7">
        <f>-148365.24</f>
        <v>-148365.24</v>
      </c>
      <c r="D100" s="7">
        <f>-390788.61</f>
        <v>-390788.61</v>
      </c>
      <c r="E100" s="7">
        <f>-179987.86</f>
        <v>-179987.86</v>
      </c>
      <c r="F100" s="7">
        <f>-70079.29</f>
        <v>-70079.289999999994</v>
      </c>
      <c r="G100" s="7">
        <f>-188228.86</f>
        <v>-188228.86</v>
      </c>
      <c r="H100" s="7">
        <f>-202935.72</f>
        <v>-202935.72</v>
      </c>
      <c r="I100" s="7">
        <f>-56489.1</f>
        <v>-56489.1</v>
      </c>
      <c r="J100" s="7">
        <f>-309783.05</f>
        <v>-309783.05</v>
      </c>
      <c r="K100" s="7">
        <f>-542407.26</f>
        <v>-542407.26</v>
      </c>
      <c r="L100" s="7">
        <f>-657224.07</f>
        <v>-657224.06999999995</v>
      </c>
      <c r="M100" s="7">
        <f>-854342.45</f>
        <v>-854342.45</v>
      </c>
    </row>
    <row r="101" spans="1:13" x14ac:dyDescent="0.3">
      <c r="A101" s="5" t="s">
        <v>264</v>
      </c>
      <c r="B101" s="8">
        <f t="shared" ref="B101:M101" si="65">(((((((B85)+(B94))+(B95))+(B96))+(B97))+(B98))+(B99))+(B100)</f>
        <v>639487.44000000018</v>
      </c>
      <c r="C101" s="8">
        <f t="shared" si="65"/>
        <v>517208.66000000015</v>
      </c>
      <c r="D101" s="8">
        <f t="shared" si="65"/>
        <v>274785.29000000015</v>
      </c>
      <c r="E101" s="8">
        <f t="shared" si="65"/>
        <v>485586.04000000015</v>
      </c>
      <c r="F101" s="8">
        <f t="shared" si="65"/>
        <v>795496.62999999989</v>
      </c>
      <c r="G101" s="8">
        <f t="shared" si="65"/>
        <v>692350.80999999994</v>
      </c>
      <c r="H101" s="8">
        <f t="shared" si="65"/>
        <v>1177643.9500000002</v>
      </c>
      <c r="I101" s="8">
        <f t="shared" si="65"/>
        <v>1334090.98</v>
      </c>
      <c r="J101" s="8">
        <f t="shared" si="65"/>
        <v>1080797.03</v>
      </c>
      <c r="K101" s="8">
        <f t="shared" si="65"/>
        <v>848172.82000000007</v>
      </c>
      <c r="L101" s="8">
        <f t="shared" si="65"/>
        <v>733356.01000000013</v>
      </c>
      <c r="M101" s="8">
        <f t="shared" si="65"/>
        <v>536238.34000000008</v>
      </c>
    </row>
    <row r="102" spans="1:13" x14ac:dyDescent="0.3">
      <c r="A102" s="5" t="s">
        <v>263</v>
      </c>
      <c r="B102" s="8">
        <f t="shared" ref="B102:M102" si="66">(B83)+(B101)</f>
        <v>972943.42000000016</v>
      </c>
      <c r="C102" s="8">
        <f t="shared" si="66"/>
        <v>854190.23000000021</v>
      </c>
      <c r="D102" s="8">
        <f t="shared" si="66"/>
        <v>704849.52000000025</v>
      </c>
      <c r="E102" s="8">
        <f t="shared" si="66"/>
        <v>876096.54000000015</v>
      </c>
      <c r="F102" s="8">
        <f t="shared" si="66"/>
        <v>1118800.81</v>
      </c>
      <c r="G102" s="8">
        <f t="shared" si="66"/>
        <v>1382528.69</v>
      </c>
      <c r="H102" s="8">
        <f t="shared" si="66"/>
        <v>1951408.1400000001</v>
      </c>
      <c r="I102" s="8">
        <f t="shared" si="66"/>
        <v>2376583.4</v>
      </c>
      <c r="J102" s="8">
        <f t="shared" si="66"/>
        <v>2300565.54</v>
      </c>
      <c r="K102" s="8">
        <f t="shared" si="66"/>
        <v>1807065.5700000003</v>
      </c>
      <c r="L102" s="8">
        <f t="shared" si="66"/>
        <v>2210291.21</v>
      </c>
      <c r="M102" s="8">
        <f t="shared" si="66"/>
        <v>1813905.8800000001</v>
      </c>
    </row>
    <row r="103" spans="1:13" x14ac:dyDescent="0.3">
      <c r="A103" s="5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</row>
    <row r="106" spans="1:13" x14ac:dyDescent="0.3">
      <c r="A106" s="12" t="s">
        <v>262</v>
      </c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3" tint="0.79998168889431442"/>
  </sheetPr>
  <dimension ref="A1:M100"/>
  <sheetViews>
    <sheetView workbookViewId="0"/>
  </sheetViews>
  <sheetFormatPr defaultColWidth="9" defaultRowHeight="14.4" x14ac:dyDescent="0.3"/>
  <cols>
    <col min="1" max="1" width="42.109375" style="2" customWidth="1"/>
    <col min="2" max="2" width="11.109375" style="2" customWidth="1"/>
    <col min="3" max="6" width="12" style="2" customWidth="1"/>
    <col min="7" max="13" width="10.33203125" style="2" customWidth="1"/>
    <col min="14" max="16384" width="9" style="2"/>
  </cols>
  <sheetData>
    <row r="1" spans="1:13" ht="17.399999999999999" x14ac:dyDescent="0.3">
      <c r="A1" s="9" t="s">
        <v>1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</row>
    <row r="2" spans="1:13" ht="17.399999999999999" x14ac:dyDescent="0.3">
      <c r="A2" s="9" t="s">
        <v>361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</row>
    <row r="3" spans="1:13" x14ac:dyDescent="0.3">
      <c r="A3" s="11" t="s">
        <v>362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</row>
    <row r="5" spans="1:13" x14ac:dyDescent="0.3">
      <c r="A5" s="3"/>
      <c r="B5" s="4" t="s">
        <v>118</v>
      </c>
      <c r="C5" s="4" t="s">
        <v>119</v>
      </c>
      <c r="D5" s="4" t="s">
        <v>120</v>
      </c>
      <c r="E5" s="4" t="s">
        <v>121</v>
      </c>
      <c r="F5" s="4" t="s">
        <v>122</v>
      </c>
      <c r="G5" s="4" t="s">
        <v>123</v>
      </c>
      <c r="H5" s="4" t="s">
        <v>124</v>
      </c>
      <c r="I5" s="4" t="s">
        <v>125</v>
      </c>
      <c r="J5" s="4" t="s">
        <v>126</v>
      </c>
      <c r="K5" s="4" t="s">
        <v>127</v>
      </c>
      <c r="L5" s="4" t="s">
        <v>128</v>
      </c>
      <c r="M5" s="4" t="s">
        <v>129</v>
      </c>
    </row>
    <row r="6" spans="1:13" x14ac:dyDescent="0.3">
      <c r="A6" s="5" t="s">
        <v>359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</row>
    <row r="7" spans="1:13" x14ac:dyDescent="0.3">
      <c r="A7" s="5" t="s">
        <v>358</v>
      </c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</row>
    <row r="8" spans="1:13" x14ac:dyDescent="0.3">
      <c r="A8" s="5" t="s">
        <v>357</v>
      </c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</row>
    <row r="9" spans="1:13" x14ac:dyDescent="0.3">
      <c r="A9" s="5" t="s">
        <v>356</v>
      </c>
      <c r="B9" s="6"/>
      <c r="C9" s="7">
        <f>B9</f>
        <v>0</v>
      </c>
      <c r="D9" s="7">
        <f>C9</f>
        <v>0</v>
      </c>
      <c r="E9" s="7">
        <f>D9</f>
        <v>0</v>
      </c>
      <c r="F9" s="7">
        <f>E9</f>
        <v>0</v>
      </c>
      <c r="G9" s="7">
        <f>F9</f>
        <v>0</v>
      </c>
      <c r="H9" s="7">
        <f>0</f>
        <v>0</v>
      </c>
      <c r="I9" s="7">
        <f>H9</f>
        <v>0</v>
      </c>
      <c r="J9" s="7">
        <f>I9</f>
        <v>0</v>
      </c>
      <c r="K9" s="7">
        <f>0</f>
        <v>0</v>
      </c>
      <c r="L9" s="7">
        <f>K9</f>
        <v>0</v>
      </c>
      <c r="M9" s="7">
        <f>0</f>
        <v>0</v>
      </c>
    </row>
    <row r="10" spans="1:13" x14ac:dyDescent="0.3">
      <c r="A10" s="5" t="s">
        <v>355</v>
      </c>
      <c r="B10" s="7">
        <f>0</f>
        <v>0</v>
      </c>
      <c r="C10" s="7">
        <f>B10</f>
        <v>0</v>
      </c>
      <c r="D10" s="7">
        <f>0</f>
        <v>0</v>
      </c>
      <c r="E10" s="7">
        <f>D10</f>
        <v>0</v>
      </c>
      <c r="F10" s="7">
        <f>E10</f>
        <v>0</v>
      </c>
      <c r="G10" s="7">
        <f>F10</f>
        <v>0</v>
      </c>
      <c r="H10" s="7">
        <f>G10</f>
        <v>0</v>
      </c>
      <c r="I10" s="7">
        <f>H10</f>
        <v>0</v>
      </c>
      <c r="J10" s="7">
        <f>I10</f>
        <v>0</v>
      </c>
      <c r="K10" s="7">
        <f>J10</f>
        <v>0</v>
      </c>
      <c r="L10" s="7">
        <f>K10</f>
        <v>0</v>
      </c>
      <c r="M10" s="7">
        <f>L10</f>
        <v>0</v>
      </c>
    </row>
    <row r="11" spans="1:13" x14ac:dyDescent="0.3">
      <c r="A11" s="5" t="s">
        <v>354</v>
      </c>
      <c r="B11" s="7">
        <f>61606.56</f>
        <v>61606.559999999998</v>
      </c>
      <c r="C11" s="7">
        <f>11765.66</f>
        <v>11765.66</v>
      </c>
      <c r="D11" s="7">
        <f>41902.47</f>
        <v>41902.47</v>
      </c>
      <c r="E11" s="7">
        <f>16919.98</f>
        <v>16919.98</v>
      </c>
      <c r="F11" s="7">
        <f>41073.84</f>
        <v>41073.839999999997</v>
      </c>
      <c r="G11" s="7">
        <f>28611.15</f>
        <v>28611.15</v>
      </c>
      <c r="H11" s="7">
        <f>63322.6</f>
        <v>63322.6</v>
      </c>
      <c r="I11" s="7">
        <f>208788.78</f>
        <v>208788.78</v>
      </c>
      <c r="J11" s="7">
        <f>233207.7</f>
        <v>233207.7</v>
      </c>
      <c r="K11" s="7">
        <f>115206</f>
        <v>115206</v>
      </c>
      <c r="L11" s="7">
        <f>107839.47</f>
        <v>107839.47</v>
      </c>
      <c r="M11" s="7">
        <f>123793.2</f>
        <v>123793.2</v>
      </c>
    </row>
    <row r="12" spans="1:13" x14ac:dyDescent="0.3">
      <c r="A12" s="5" t="s">
        <v>353</v>
      </c>
      <c r="B12" s="7">
        <f>125014.25</f>
        <v>125014.25</v>
      </c>
      <c r="C12" s="7">
        <f>100014.25</f>
        <v>100014.25</v>
      </c>
      <c r="D12" s="7">
        <f>90014.25</f>
        <v>90014.25</v>
      </c>
      <c r="E12" s="7">
        <f>120014.25</f>
        <v>120014.25</v>
      </c>
      <c r="F12" s="7">
        <f>100014.25</f>
        <v>100014.25</v>
      </c>
      <c r="G12" s="7">
        <f>315014.25</f>
        <v>315014.25</v>
      </c>
      <c r="H12" s="7">
        <f>410014.25</f>
        <v>410014.25</v>
      </c>
      <c r="I12" s="7">
        <f>345014.25</f>
        <v>345014.25</v>
      </c>
      <c r="J12" s="7">
        <f>415014.25</f>
        <v>415014.25</v>
      </c>
      <c r="K12" s="7">
        <f>565014.25</f>
        <v>565014.25</v>
      </c>
      <c r="L12" s="7">
        <f t="shared" ref="L12:M15" si="0">K12</f>
        <v>565014.25</v>
      </c>
      <c r="M12" s="7">
        <f t="shared" si="0"/>
        <v>565014.25</v>
      </c>
    </row>
    <row r="13" spans="1:13" x14ac:dyDescent="0.3">
      <c r="A13" s="5" t="s">
        <v>351</v>
      </c>
      <c r="B13" s="7">
        <f>0</f>
        <v>0</v>
      </c>
      <c r="C13" s="7">
        <f t="shared" ref="C13:K15" si="1">B13</f>
        <v>0</v>
      </c>
      <c r="D13" s="7">
        <f t="shared" si="1"/>
        <v>0</v>
      </c>
      <c r="E13" s="7">
        <f t="shared" si="1"/>
        <v>0</v>
      </c>
      <c r="F13" s="7">
        <f t="shared" si="1"/>
        <v>0</v>
      </c>
      <c r="G13" s="7">
        <f t="shared" si="1"/>
        <v>0</v>
      </c>
      <c r="H13" s="7">
        <f t="shared" si="1"/>
        <v>0</v>
      </c>
      <c r="I13" s="7">
        <f t="shared" si="1"/>
        <v>0</v>
      </c>
      <c r="J13" s="7">
        <f t="shared" si="1"/>
        <v>0</v>
      </c>
      <c r="K13" s="7">
        <f t="shared" si="1"/>
        <v>0</v>
      </c>
      <c r="L13" s="7">
        <f t="shared" si="0"/>
        <v>0</v>
      </c>
      <c r="M13" s="7">
        <f t="shared" si="0"/>
        <v>0</v>
      </c>
    </row>
    <row r="14" spans="1:13" x14ac:dyDescent="0.3">
      <c r="A14" s="5" t="s">
        <v>350</v>
      </c>
      <c r="B14" s="7">
        <f>0</f>
        <v>0</v>
      </c>
      <c r="C14" s="7">
        <f t="shared" si="1"/>
        <v>0</v>
      </c>
      <c r="D14" s="7">
        <f t="shared" si="1"/>
        <v>0</v>
      </c>
      <c r="E14" s="7">
        <f t="shared" si="1"/>
        <v>0</v>
      </c>
      <c r="F14" s="7">
        <f t="shared" si="1"/>
        <v>0</v>
      </c>
      <c r="G14" s="7">
        <f t="shared" si="1"/>
        <v>0</v>
      </c>
      <c r="H14" s="7">
        <f t="shared" si="1"/>
        <v>0</v>
      </c>
      <c r="I14" s="7">
        <f t="shared" si="1"/>
        <v>0</v>
      </c>
      <c r="J14" s="7">
        <f t="shared" si="1"/>
        <v>0</v>
      </c>
      <c r="K14" s="7">
        <f t="shared" si="1"/>
        <v>0</v>
      </c>
      <c r="L14" s="7">
        <f t="shared" si="0"/>
        <v>0</v>
      </c>
      <c r="M14" s="7">
        <f t="shared" si="0"/>
        <v>0</v>
      </c>
    </row>
    <row r="15" spans="1:13" x14ac:dyDescent="0.3">
      <c r="A15" s="5" t="s">
        <v>349</v>
      </c>
      <c r="B15" s="7">
        <f>0</f>
        <v>0</v>
      </c>
      <c r="C15" s="7">
        <f t="shared" si="1"/>
        <v>0</v>
      </c>
      <c r="D15" s="7">
        <f t="shared" si="1"/>
        <v>0</v>
      </c>
      <c r="E15" s="7">
        <f t="shared" si="1"/>
        <v>0</v>
      </c>
      <c r="F15" s="7">
        <f t="shared" si="1"/>
        <v>0</v>
      </c>
      <c r="G15" s="7">
        <f t="shared" si="1"/>
        <v>0</v>
      </c>
      <c r="H15" s="7">
        <f t="shared" si="1"/>
        <v>0</v>
      </c>
      <c r="I15" s="7">
        <f t="shared" si="1"/>
        <v>0</v>
      </c>
      <c r="J15" s="7">
        <f t="shared" si="1"/>
        <v>0</v>
      </c>
      <c r="K15" s="7">
        <f t="shared" si="1"/>
        <v>0</v>
      </c>
      <c r="L15" s="7">
        <f t="shared" si="0"/>
        <v>0</v>
      </c>
      <c r="M15" s="7">
        <f t="shared" si="0"/>
        <v>0</v>
      </c>
    </row>
    <row r="16" spans="1:13" x14ac:dyDescent="0.3">
      <c r="A16" s="5" t="s">
        <v>348</v>
      </c>
      <c r="B16" s="8">
        <f t="shared" ref="B16:M16" si="2">((((((B9)+(B10))+(B11))+(B12))+(B13))+(B14))+(B15)</f>
        <v>186620.81</v>
      </c>
      <c r="C16" s="8">
        <f t="shared" si="2"/>
        <v>111779.91</v>
      </c>
      <c r="D16" s="8">
        <f t="shared" si="2"/>
        <v>131916.72</v>
      </c>
      <c r="E16" s="8">
        <f t="shared" si="2"/>
        <v>136934.23000000001</v>
      </c>
      <c r="F16" s="8">
        <f t="shared" si="2"/>
        <v>141088.09</v>
      </c>
      <c r="G16" s="8">
        <f t="shared" si="2"/>
        <v>343625.4</v>
      </c>
      <c r="H16" s="8">
        <f t="shared" si="2"/>
        <v>473336.85</v>
      </c>
      <c r="I16" s="8">
        <f t="shared" si="2"/>
        <v>553803.03</v>
      </c>
      <c r="J16" s="8">
        <f t="shared" si="2"/>
        <v>648221.94999999995</v>
      </c>
      <c r="K16" s="8">
        <f t="shared" si="2"/>
        <v>680220.25</v>
      </c>
      <c r="L16" s="8">
        <f t="shared" si="2"/>
        <v>672853.72</v>
      </c>
      <c r="M16" s="8">
        <f t="shared" si="2"/>
        <v>688807.45</v>
      </c>
    </row>
    <row r="17" spans="1:13" x14ac:dyDescent="0.3">
      <c r="A17" s="5" t="s">
        <v>347</v>
      </c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</row>
    <row r="18" spans="1:13" x14ac:dyDescent="0.3">
      <c r="A18" s="5" t="s">
        <v>346</v>
      </c>
      <c r="B18" s="7">
        <f>0</f>
        <v>0</v>
      </c>
      <c r="C18" s="7">
        <f t="shared" ref="C18:M18" si="3">B18</f>
        <v>0</v>
      </c>
      <c r="D18" s="7">
        <f t="shared" si="3"/>
        <v>0</v>
      </c>
      <c r="E18" s="7">
        <f t="shared" si="3"/>
        <v>0</v>
      </c>
      <c r="F18" s="7">
        <f t="shared" si="3"/>
        <v>0</v>
      </c>
      <c r="G18" s="7">
        <f t="shared" si="3"/>
        <v>0</v>
      </c>
      <c r="H18" s="7">
        <f t="shared" si="3"/>
        <v>0</v>
      </c>
      <c r="I18" s="7">
        <f t="shared" si="3"/>
        <v>0</v>
      </c>
      <c r="J18" s="7">
        <f t="shared" si="3"/>
        <v>0</v>
      </c>
      <c r="K18" s="7">
        <f t="shared" si="3"/>
        <v>0</v>
      </c>
      <c r="L18" s="7">
        <f t="shared" si="3"/>
        <v>0</v>
      </c>
      <c r="M18" s="7">
        <f t="shared" si="3"/>
        <v>0</v>
      </c>
    </row>
    <row r="19" spans="1:13" x14ac:dyDescent="0.3">
      <c r="A19" s="5" t="s">
        <v>345</v>
      </c>
      <c r="B19" s="8">
        <f t="shared" ref="B19:M19" si="4">B18</f>
        <v>0</v>
      </c>
      <c r="C19" s="8">
        <f t="shared" si="4"/>
        <v>0</v>
      </c>
      <c r="D19" s="8">
        <f t="shared" si="4"/>
        <v>0</v>
      </c>
      <c r="E19" s="8">
        <f t="shared" si="4"/>
        <v>0</v>
      </c>
      <c r="F19" s="8">
        <f t="shared" si="4"/>
        <v>0</v>
      </c>
      <c r="G19" s="8">
        <f t="shared" si="4"/>
        <v>0</v>
      </c>
      <c r="H19" s="8">
        <f t="shared" si="4"/>
        <v>0</v>
      </c>
      <c r="I19" s="8">
        <f t="shared" si="4"/>
        <v>0</v>
      </c>
      <c r="J19" s="8">
        <f t="shared" si="4"/>
        <v>0</v>
      </c>
      <c r="K19" s="8">
        <f t="shared" si="4"/>
        <v>0</v>
      </c>
      <c r="L19" s="8">
        <f t="shared" si="4"/>
        <v>0</v>
      </c>
      <c r="M19" s="8">
        <f t="shared" si="4"/>
        <v>0</v>
      </c>
    </row>
    <row r="20" spans="1:13" x14ac:dyDescent="0.3">
      <c r="A20" s="5" t="s">
        <v>344</v>
      </c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</row>
    <row r="21" spans="1:13" x14ac:dyDescent="0.3">
      <c r="A21" s="5" t="s">
        <v>342</v>
      </c>
      <c r="B21" s="7">
        <f>137679.86</f>
        <v>137679.85999999999</v>
      </c>
      <c r="C21" s="7">
        <f>175519.19</f>
        <v>175519.19</v>
      </c>
      <c r="D21" s="7">
        <f>200887.93</f>
        <v>200887.93</v>
      </c>
      <c r="E21" s="7">
        <f>175017.6</f>
        <v>175017.60000000001</v>
      </c>
      <c r="F21" s="7">
        <f>181207.67</f>
        <v>181207.67</v>
      </c>
      <c r="G21" s="7">
        <f>205351.97</f>
        <v>205351.97</v>
      </c>
      <c r="H21" s="7">
        <f>221375.22</f>
        <v>221375.22</v>
      </c>
      <c r="I21" s="7">
        <f>250980.72</f>
        <v>250980.72</v>
      </c>
      <c r="J21" s="7">
        <f>250699.32</f>
        <v>250699.32</v>
      </c>
      <c r="K21" s="7">
        <f>235071.48</f>
        <v>235071.48</v>
      </c>
      <c r="L21" s="7">
        <f>259023.79</f>
        <v>259023.79</v>
      </c>
      <c r="M21" s="7">
        <f>286364.32</f>
        <v>286364.32</v>
      </c>
    </row>
    <row r="22" spans="1:13" x14ac:dyDescent="0.3">
      <c r="A22" s="5" t="s">
        <v>341</v>
      </c>
      <c r="B22" s="6"/>
      <c r="C22" s="7">
        <f>8991.69</f>
        <v>8991.69</v>
      </c>
      <c r="D22" s="7">
        <f>8772.38</f>
        <v>8772.3799999999992</v>
      </c>
      <c r="E22" s="7">
        <f>8553.07</f>
        <v>8553.07</v>
      </c>
      <c r="F22" s="7">
        <f>8333.76</f>
        <v>8333.76</v>
      </c>
      <c r="G22" s="7">
        <f>8114.45</f>
        <v>8114.45</v>
      </c>
      <c r="H22" s="7">
        <f>7895.14</f>
        <v>7895.14</v>
      </c>
      <c r="I22" s="7">
        <f>7675.83</f>
        <v>7675.83</v>
      </c>
      <c r="J22" s="7">
        <f>7456.52</f>
        <v>7456.52</v>
      </c>
      <c r="K22" s="7">
        <f>7237.21</f>
        <v>7237.21</v>
      </c>
      <c r="L22" s="7">
        <f>7017.9</f>
        <v>7017.9</v>
      </c>
      <c r="M22" s="7">
        <f>6798.59</f>
        <v>6798.59</v>
      </c>
    </row>
    <row r="23" spans="1:13" x14ac:dyDescent="0.3">
      <c r="A23" s="5" t="s">
        <v>340</v>
      </c>
      <c r="B23" s="6"/>
      <c r="C23" s="7">
        <f>B23</f>
        <v>0</v>
      </c>
      <c r="D23" s="7">
        <f>C23</f>
        <v>0</v>
      </c>
      <c r="E23" s="7">
        <f>D23</f>
        <v>0</v>
      </c>
      <c r="F23" s="7">
        <f>E23</f>
        <v>0</v>
      </c>
      <c r="G23" s="7">
        <f>0</f>
        <v>0</v>
      </c>
      <c r="H23" s="7">
        <f t="shared" ref="H23:M23" si="5">G23</f>
        <v>0</v>
      </c>
      <c r="I23" s="7">
        <f t="shared" si="5"/>
        <v>0</v>
      </c>
      <c r="J23" s="7">
        <f t="shared" si="5"/>
        <v>0</v>
      </c>
      <c r="K23" s="7">
        <f t="shared" si="5"/>
        <v>0</v>
      </c>
      <c r="L23" s="7">
        <f t="shared" si="5"/>
        <v>0</v>
      </c>
      <c r="M23" s="7">
        <f t="shared" si="5"/>
        <v>0</v>
      </c>
    </row>
    <row r="24" spans="1:13" x14ac:dyDescent="0.3">
      <c r="A24" s="5" t="s">
        <v>339</v>
      </c>
      <c r="B24" s="8">
        <f t="shared" ref="B24:M24" si="6">((B21)+(B22))+(B23)</f>
        <v>137679.85999999999</v>
      </c>
      <c r="C24" s="8">
        <f t="shared" si="6"/>
        <v>184510.88</v>
      </c>
      <c r="D24" s="8">
        <f t="shared" si="6"/>
        <v>209660.31</v>
      </c>
      <c r="E24" s="8">
        <f t="shared" si="6"/>
        <v>183570.67</v>
      </c>
      <c r="F24" s="8">
        <f t="shared" si="6"/>
        <v>189541.43000000002</v>
      </c>
      <c r="G24" s="8">
        <f t="shared" si="6"/>
        <v>213466.42</v>
      </c>
      <c r="H24" s="8">
        <f t="shared" si="6"/>
        <v>229270.36000000002</v>
      </c>
      <c r="I24" s="8">
        <f t="shared" si="6"/>
        <v>258656.55</v>
      </c>
      <c r="J24" s="8">
        <f t="shared" si="6"/>
        <v>258155.84</v>
      </c>
      <c r="K24" s="8">
        <f t="shared" si="6"/>
        <v>242308.69</v>
      </c>
      <c r="L24" s="8">
        <f t="shared" si="6"/>
        <v>266041.69</v>
      </c>
      <c r="M24" s="8">
        <f t="shared" si="6"/>
        <v>293162.91000000003</v>
      </c>
    </row>
    <row r="25" spans="1:13" x14ac:dyDescent="0.3">
      <c r="A25" s="5" t="s">
        <v>338</v>
      </c>
      <c r="B25" s="8">
        <f t="shared" ref="B25:M25" si="7">((B16)+(B19))+(B24)</f>
        <v>324300.67</v>
      </c>
      <c r="C25" s="8">
        <f t="shared" si="7"/>
        <v>296290.79000000004</v>
      </c>
      <c r="D25" s="8">
        <f t="shared" si="7"/>
        <v>341577.03</v>
      </c>
      <c r="E25" s="8">
        <f t="shared" si="7"/>
        <v>320504.90000000002</v>
      </c>
      <c r="F25" s="8">
        <f t="shared" si="7"/>
        <v>330629.52</v>
      </c>
      <c r="G25" s="8">
        <f t="shared" si="7"/>
        <v>557091.82000000007</v>
      </c>
      <c r="H25" s="8">
        <f t="shared" si="7"/>
        <v>702607.21</v>
      </c>
      <c r="I25" s="8">
        <f t="shared" si="7"/>
        <v>812459.58000000007</v>
      </c>
      <c r="J25" s="8">
        <f t="shared" si="7"/>
        <v>906377.78999999992</v>
      </c>
      <c r="K25" s="8">
        <f t="shared" si="7"/>
        <v>922528.94</v>
      </c>
      <c r="L25" s="8">
        <f t="shared" si="7"/>
        <v>938895.40999999992</v>
      </c>
      <c r="M25" s="8">
        <f t="shared" si="7"/>
        <v>981970.36</v>
      </c>
    </row>
    <row r="26" spans="1:13" x14ac:dyDescent="0.3">
      <c r="A26" s="5" t="s">
        <v>337</v>
      </c>
      <c r="B26" s="8">
        <f t="shared" ref="B26:M26" si="8">B25</f>
        <v>324300.67</v>
      </c>
      <c r="C26" s="8">
        <f t="shared" si="8"/>
        <v>296290.79000000004</v>
      </c>
      <c r="D26" s="8">
        <f t="shared" si="8"/>
        <v>341577.03</v>
      </c>
      <c r="E26" s="8">
        <f t="shared" si="8"/>
        <v>320504.90000000002</v>
      </c>
      <c r="F26" s="8">
        <f t="shared" si="8"/>
        <v>330629.52</v>
      </c>
      <c r="G26" s="8">
        <f t="shared" si="8"/>
        <v>557091.82000000007</v>
      </c>
      <c r="H26" s="8">
        <f t="shared" si="8"/>
        <v>702607.21</v>
      </c>
      <c r="I26" s="8">
        <f t="shared" si="8"/>
        <v>812459.58000000007</v>
      </c>
      <c r="J26" s="8">
        <f t="shared" si="8"/>
        <v>906377.78999999992</v>
      </c>
      <c r="K26" s="8">
        <f t="shared" si="8"/>
        <v>922528.94</v>
      </c>
      <c r="L26" s="8">
        <f t="shared" si="8"/>
        <v>938895.40999999992</v>
      </c>
      <c r="M26" s="8">
        <f t="shared" si="8"/>
        <v>981970.36</v>
      </c>
    </row>
    <row r="27" spans="1:13" x14ac:dyDescent="0.3">
      <c r="A27" s="5" t="s">
        <v>336</v>
      </c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</row>
    <row r="28" spans="1:13" x14ac:dyDescent="0.3">
      <c r="A28" s="5" t="s">
        <v>335</v>
      </c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</row>
    <row r="29" spans="1:13" x14ac:dyDescent="0.3">
      <c r="A29" s="5" t="s">
        <v>334</v>
      </c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</row>
    <row r="30" spans="1:13" x14ac:dyDescent="0.3">
      <c r="A30" s="5" t="s">
        <v>333</v>
      </c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</row>
    <row r="31" spans="1:13" x14ac:dyDescent="0.3">
      <c r="A31" s="5" t="s">
        <v>332</v>
      </c>
      <c r="B31" s="6"/>
      <c r="C31" s="7">
        <f t="shared" ref="C31:M32" si="9">B31</f>
        <v>0</v>
      </c>
      <c r="D31" s="7">
        <f t="shared" si="9"/>
        <v>0</v>
      </c>
      <c r="E31" s="7">
        <f t="shared" si="9"/>
        <v>0</v>
      </c>
      <c r="F31" s="7">
        <f t="shared" si="9"/>
        <v>0</v>
      </c>
      <c r="G31" s="7">
        <f t="shared" si="9"/>
        <v>0</v>
      </c>
      <c r="H31" s="7">
        <f>0</f>
        <v>0</v>
      </c>
      <c r="I31" s="7">
        <f>26914.62</f>
        <v>26914.62</v>
      </c>
      <c r="J31" s="7">
        <f>31413.97</f>
        <v>31413.97</v>
      </c>
      <c r="K31" s="7">
        <f>2140.3</f>
        <v>2140.3000000000002</v>
      </c>
      <c r="L31" s="7">
        <f>6904.63</f>
        <v>6904.63</v>
      </c>
      <c r="M31" s="7">
        <f>0</f>
        <v>0</v>
      </c>
    </row>
    <row r="32" spans="1:13" x14ac:dyDescent="0.3">
      <c r="A32" s="5" t="s">
        <v>331</v>
      </c>
      <c r="B32" s="7">
        <f>0</f>
        <v>0</v>
      </c>
      <c r="C32" s="7">
        <f t="shared" si="9"/>
        <v>0</v>
      </c>
      <c r="D32" s="7">
        <f t="shared" si="9"/>
        <v>0</v>
      </c>
      <c r="E32" s="7">
        <f t="shared" si="9"/>
        <v>0</v>
      </c>
      <c r="F32" s="7">
        <f t="shared" si="9"/>
        <v>0</v>
      </c>
      <c r="G32" s="7">
        <f t="shared" si="9"/>
        <v>0</v>
      </c>
      <c r="H32" s="7">
        <f t="shared" si="9"/>
        <v>0</v>
      </c>
      <c r="I32" s="7">
        <f t="shared" si="9"/>
        <v>0</v>
      </c>
      <c r="J32" s="7">
        <f t="shared" si="9"/>
        <v>0</v>
      </c>
      <c r="K32" s="7">
        <f t="shared" si="9"/>
        <v>0</v>
      </c>
      <c r="L32" s="7">
        <f t="shared" si="9"/>
        <v>0</v>
      </c>
      <c r="M32" s="7">
        <f t="shared" si="9"/>
        <v>0</v>
      </c>
    </row>
    <row r="33" spans="1:13" x14ac:dyDescent="0.3">
      <c r="A33" s="5" t="s">
        <v>330</v>
      </c>
      <c r="B33" s="8">
        <f t="shared" ref="B33:M33" si="10">(B31)+(B32)</f>
        <v>0</v>
      </c>
      <c r="C33" s="8">
        <f t="shared" si="10"/>
        <v>0</v>
      </c>
      <c r="D33" s="8">
        <f t="shared" si="10"/>
        <v>0</v>
      </c>
      <c r="E33" s="8">
        <f t="shared" si="10"/>
        <v>0</v>
      </c>
      <c r="F33" s="8">
        <f t="shared" si="10"/>
        <v>0</v>
      </c>
      <c r="G33" s="8">
        <f t="shared" si="10"/>
        <v>0</v>
      </c>
      <c r="H33" s="8">
        <f t="shared" si="10"/>
        <v>0</v>
      </c>
      <c r="I33" s="8">
        <f t="shared" si="10"/>
        <v>26914.62</v>
      </c>
      <c r="J33" s="8">
        <f t="shared" si="10"/>
        <v>31413.97</v>
      </c>
      <c r="K33" s="8">
        <f t="shared" si="10"/>
        <v>2140.3000000000002</v>
      </c>
      <c r="L33" s="8">
        <f t="shared" si="10"/>
        <v>6904.63</v>
      </c>
      <c r="M33" s="8">
        <f t="shared" si="10"/>
        <v>0</v>
      </c>
    </row>
    <row r="34" spans="1:13" x14ac:dyDescent="0.3">
      <c r="A34" s="5" t="s">
        <v>329</v>
      </c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</row>
    <row r="35" spans="1:13" x14ac:dyDescent="0.3">
      <c r="A35" s="5" t="s">
        <v>328</v>
      </c>
      <c r="B35" s="7">
        <f>0</f>
        <v>0</v>
      </c>
      <c r="C35" s="7">
        <f t="shared" ref="C35:M35" si="11">B35</f>
        <v>0</v>
      </c>
      <c r="D35" s="7">
        <f t="shared" si="11"/>
        <v>0</v>
      </c>
      <c r="E35" s="7">
        <f t="shared" si="11"/>
        <v>0</v>
      </c>
      <c r="F35" s="7">
        <f t="shared" si="11"/>
        <v>0</v>
      </c>
      <c r="G35" s="7">
        <f t="shared" si="11"/>
        <v>0</v>
      </c>
      <c r="H35" s="7">
        <f t="shared" si="11"/>
        <v>0</v>
      </c>
      <c r="I35" s="7">
        <f t="shared" si="11"/>
        <v>0</v>
      </c>
      <c r="J35" s="7">
        <f t="shared" si="11"/>
        <v>0</v>
      </c>
      <c r="K35" s="7">
        <f t="shared" si="11"/>
        <v>0</v>
      </c>
      <c r="L35" s="7">
        <f t="shared" si="11"/>
        <v>0</v>
      </c>
      <c r="M35" s="7">
        <f t="shared" si="11"/>
        <v>0</v>
      </c>
    </row>
    <row r="36" spans="1:13" x14ac:dyDescent="0.3">
      <c r="A36" s="5" t="s">
        <v>327</v>
      </c>
      <c r="B36" s="6"/>
      <c r="C36" s="7">
        <f>B36</f>
        <v>0</v>
      </c>
      <c r="D36" s="7">
        <f>43706.97</f>
        <v>43706.97</v>
      </c>
      <c r="E36" s="7">
        <f>31162.05</f>
        <v>31162.05</v>
      </c>
      <c r="F36" s="7">
        <f>74879.19</f>
        <v>74879.19</v>
      </c>
      <c r="G36" s="7">
        <f>54772.58</f>
        <v>54772.58</v>
      </c>
      <c r="H36" s="7">
        <f>99715.04</f>
        <v>99715.04</v>
      </c>
      <c r="I36" s="7">
        <f>55862.18</f>
        <v>55862.18</v>
      </c>
      <c r="J36" s="7">
        <f>57860.08</f>
        <v>57860.08</v>
      </c>
      <c r="K36" s="7">
        <f>59347.12</f>
        <v>59347.12</v>
      </c>
      <c r="L36" s="7">
        <f>69217.11</f>
        <v>69217.11</v>
      </c>
      <c r="M36" s="7">
        <f>83537.34</f>
        <v>83537.34</v>
      </c>
    </row>
    <row r="37" spans="1:13" x14ac:dyDescent="0.3">
      <c r="A37" s="5" t="s">
        <v>325</v>
      </c>
      <c r="B37" s="7">
        <f>13016.17</f>
        <v>13016.17</v>
      </c>
      <c r="C37" s="7">
        <f>0</f>
        <v>0</v>
      </c>
      <c r="D37" s="7">
        <f t="shared" ref="D37:M38" si="12">C37</f>
        <v>0</v>
      </c>
      <c r="E37" s="7">
        <f t="shared" si="12"/>
        <v>0</v>
      </c>
      <c r="F37" s="7">
        <f t="shared" si="12"/>
        <v>0</v>
      </c>
      <c r="G37" s="7">
        <f t="shared" si="12"/>
        <v>0</v>
      </c>
      <c r="H37" s="7">
        <f t="shared" si="12"/>
        <v>0</v>
      </c>
      <c r="I37" s="7">
        <f t="shared" si="12"/>
        <v>0</v>
      </c>
      <c r="J37" s="7">
        <f t="shared" si="12"/>
        <v>0</v>
      </c>
      <c r="K37" s="7">
        <f t="shared" si="12"/>
        <v>0</v>
      </c>
      <c r="L37" s="7">
        <f t="shared" si="12"/>
        <v>0</v>
      </c>
      <c r="M37" s="7">
        <f t="shared" si="12"/>
        <v>0</v>
      </c>
    </row>
    <row r="38" spans="1:13" x14ac:dyDescent="0.3">
      <c r="A38" s="5" t="s">
        <v>324</v>
      </c>
      <c r="B38" s="7">
        <f>1809.22</f>
        <v>1809.22</v>
      </c>
      <c r="C38" s="7">
        <f>7.56</f>
        <v>7.56</v>
      </c>
      <c r="D38" s="7">
        <f>61.72</f>
        <v>61.72</v>
      </c>
      <c r="E38" s="7">
        <f>0</f>
        <v>0</v>
      </c>
      <c r="F38" s="7">
        <f t="shared" si="12"/>
        <v>0</v>
      </c>
      <c r="G38" s="7">
        <f t="shared" si="12"/>
        <v>0</v>
      </c>
      <c r="H38" s="7">
        <f t="shared" si="12"/>
        <v>0</v>
      </c>
      <c r="I38" s="7">
        <f t="shared" si="12"/>
        <v>0</v>
      </c>
      <c r="J38" s="7">
        <f t="shared" si="12"/>
        <v>0</v>
      </c>
      <c r="K38" s="7">
        <f t="shared" si="12"/>
        <v>0</v>
      </c>
      <c r="L38" s="7">
        <f t="shared" si="12"/>
        <v>0</v>
      </c>
      <c r="M38" s="7">
        <f t="shared" si="12"/>
        <v>0</v>
      </c>
    </row>
    <row r="39" spans="1:13" x14ac:dyDescent="0.3">
      <c r="A39" s="5" t="s">
        <v>322</v>
      </c>
      <c r="B39" s="6"/>
      <c r="C39" s="7">
        <f>1653.33</f>
        <v>1653.33</v>
      </c>
      <c r="D39" s="7">
        <f>9437.69</f>
        <v>9437.69</v>
      </c>
      <c r="E39" s="7">
        <f>18632.59</f>
        <v>18632.59</v>
      </c>
      <c r="F39" s="7">
        <f>10043.13</f>
        <v>10043.129999999999</v>
      </c>
      <c r="G39" s="7">
        <f>3327.39</f>
        <v>3327.39</v>
      </c>
      <c r="H39" s="7">
        <f>11545.6</f>
        <v>11545.6</v>
      </c>
      <c r="I39" s="7">
        <f>6470.43</f>
        <v>6470.43</v>
      </c>
      <c r="J39" s="7">
        <f>306.36</f>
        <v>306.36</v>
      </c>
      <c r="K39" s="7">
        <f>30567.79</f>
        <v>30567.79</v>
      </c>
      <c r="L39" s="7">
        <f>26158.74</f>
        <v>26158.74</v>
      </c>
      <c r="M39" s="7">
        <f>60881.1</f>
        <v>60881.1</v>
      </c>
    </row>
    <row r="40" spans="1:13" x14ac:dyDescent="0.3">
      <c r="A40" s="5" t="s">
        <v>319</v>
      </c>
      <c r="B40" s="8">
        <f t="shared" ref="B40:M40" si="13">((((B35)+(B36))+(B37))+(B38))+(B39)</f>
        <v>14825.39</v>
      </c>
      <c r="C40" s="8">
        <f t="shared" si="13"/>
        <v>1660.8899999999999</v>
      </c>
      <c r="D40" s="8">
        <f t="shared" si="13"/>
        <v>53206.380000000005</v>
      </c>
      <c r="E40" s="8">
        <f t="shared" si="13"/>
        <v>49794.64</v>
      </c>
      <c r="F40" s="8">
        <f t="shared" si="13"/>
        <v>84922.32</v>
      </c>
      <c r="G40" s="8">
        <f t="shared" si="13"/>
        <v>58099.97</v>
      </c>
      <c r="H40" s="8">
        <f t="shared" si="13"/>
        <v>111260.64</v>
      </c>
      <c r="I40" s="8">
        <f t="shared" si="13"/>
        <v>62332.61</v>
      </c>
      <c r="J40" s="8">
        <f t="shared" si="13"/>
        <v>58166.44</v>
      </c>
      <c r="K40" s="8">
        <f t="shared" si="13"/>
        <v>89914.91</v>
      </c>
      <c r="L40" s="8">
        <f t="shared" si="13"/>
        <v>95375.85</v>
      </c>
      <c r="M40" s="8">
        <f t="shared" si="13"/>
        <v>144418.44</v>
      </c>
    </row>
    <row r="41" spans="1:13" x14ac:dyDescent="0.3">
      <c r="A41" s="5" t="s">
        <v>318</v>
      </c>
      <c r="B41" s="6"/>
      <c r="C41" s="7">
        <f t="shared" ref="C41:M41" si="14">B41</f>
        <v>0</v>
      </c>
      <c r="D41" s="7">
        <f t="shared" si="14"/>
        <v>0</v>
      </c>
      <c r="E41" s="7">
        <f t="shared" si="14"/>
        <v>0</v>
      </c>
      <c r="F41" s="7">
        <f t="shared" si="14"/>
        <v>0</v>
      </c>
      <c r="G41" s="7">
        <f t="shared" si="14"/>
        <v>0</v>
      </c>
      <c r="H41" s="7">
        <f t="shared" si="14"/>
        <v>0</v>
      </c>
      <c r="I41" s="7">
        <f t="shared" si="14"/>
        <v>0</v>
      </c>
      <c r="J41" s="7">
        <f t="shared" si="14"/>
        <v>0</v>
      </c>
      <c r="K41" s="7">
        <f t="shared" si="14"/>
        <v>0</v>
      </c>
      <c r="L41" s="7">
        <f t="shared" si="14"/>
        <v>0</v>
      </c>
      <c r="M41" s="7">
        <f t="shared" si="14"/>
        <v>0</v>
      </c>
    </row>
    <row r="42" spans="1:13" x14ac:dyDescent="0.3">
      <c r="A42" s="5" t="s">
        <v>317</v>
      </c>
      <c r="B42" s="7">
        <f>11002.75</f>
        <v>11002.75</v>
      </c>
      <c r="C42" s="7">
        <f>14996.85</f>
        <v>14996.85</v>
      </c>
      <c r="D42" s="7">
        <f>16087.1</f>
        <v>16087.1</v>
      </c>
      <c r="E42" s="7">
        <f>15316.76</f>
        <v>15316.76</v>
      </c>
      <c r="F42" s="7">
        <f>9965.2</f>
        <v>9965.2000000000007</v>
      </c>
      <c r="G42" s="7">
        <f>22.05</f>
        <v>22.05</v>
      </c>
      <c r="H42" s="7">
        <f>473.31</f>
        <v>473.31</v>
      </c>
      <c r="I42" s="7">
        <f>83.6</f>
        <v>83.6</v>
      </c>
      <c r="J42" s="7">
        <f>70</f>
        <v>70</v>
      </c>
      <c r="K42" s="7">
        <f>70</f>
        <v>70</v>
      </c>
      <c r="L42" s="7">
        <f>0</f>
        <v>0</v>
      </c>
      <c r="M42" s="7">
        <f>L42</f>
        <v>0</v>
      </c>
    </row>
    <row r="43" spans="1:13" x14ac:dyDescent="0.3">
      <c r="A43" s="5" t="s">
        <v>316</v>
      </c>
      <c r="B43" s="8">
        <f t="shared" ref="B43:M43" si="15">(B41)+(B42)</f>
        <v>11002.75</v>
      </c>
      <c r="C43" s="8">
        <f t="shared" si="15"/>
        <v>14996.85</v>
      </c>
      <c r="D43" s="8">
        <f t="shared" si="15"/>
        <v>16087.1</v>
      </c>
      <c r="E43" s="8">
        <f t="shared" si="15"/>
        <v>15316.76</v>
      </c>
      <c r="F43" s="8">
        <f t="shared" si="15"/>
        <v>9965.2000000000007</v>
      </c>
      <c r="G43" s="8">
        <f t="shared" si="15"/>
        <v>22.05</v>
      </c>
      <c r="H43" s="8">
        <f t="shared" si="15"/>
        <v>473.31</v>
      </c>
      <c r="I43" s="8">
        <f t="shared" si="15"/>
        <v>83.6</v>
      </c>
      <c r="J43" s="8">
        <f t="shared" si="15"/>
        <v>70</v>
      </c>
      <c r="K43" s="8">
        <f t="shared" si="15"/>
        <v>70</v>
      </c>
      <c r="L43" s="8">
        <f t="shared" si="15"/>
        <v>0</v>
      </c>
      <c r="M43" s="8">
        <f t="shared" si="15"/>
        <v>0</v>
      </c>
    </row>
    <row r="44" spans="1:13" x14ac:dyDescent="0.3">
      <c r="A44" s="5" t="s">
        <v>315</v>
      </c>
      <c r="B44" s="7">
        <f>0</f>
        <v>0</v>
      </c>
      <c r="C44" s="7">
        <f t="shared" ref="C44:M44" si="16">B44</f>
        <v>0</v>
      </c>
      <c r="D44" s="7">
        <f t="shared" si="16"/>
        <v>0</v>
      </c>
      <c r="E44" s="7">
        <f t="shared" si="16"/>
        <v>0</v>
      </c>
      <c r="F44" s="7">
        <f t="shared" si="16"/>
        <v>0</v>
      </c>
      <c r="G44" s="7">
        <f t="shared" si="16"/>
        <v>0</v>
      </c>
      <c r="H44" s="7">
        <f t="shared" si="16"/>
        <v>0</v>
      </c>
      <c r="I44" s="7">
        <f t="shared" si="16"/>
        <v>0</v>
      </c>
      <c r="J44" s="7">
        <f t="shared" si="16"/>
        <v>0</v>
      </c>
      <c r="K44" s="7">
        <f t="shared" si="16"/>
        <v>0</v>
      </c>
      <c r="L44" s="7">
        <f t="shared" si="16"/>
        <v>0</v>
      </c>
      <c r="M44" s="7">
        <f t="shared" si="16"/>
        <v>0</v>
      </c>
    </row>
    <row r="45" spans="1:13" x14ac:dyDescent="0.3">
      <c r="A45" s="5" t="s">
        <v>314</v>
      </c>
      <c r="B45" s="8">
        <f t="shared" ref="B45:M45" si="17">((B40)+(B43))+(B44)</f>
        <v>25828.14</v>
      </c>
      <c r="C45" s="8">
        <f t="shared" si="17"/>
        <v>16657.740000000002</v>
      </c>
      <c r="D45" s="8">
        <f t="shared" si="17"/>
        <v>69293.48000000001</v>
      </c>
      <c r="E45" s="8">
        <f t="shared" si="17"/>
        <v>65111.4</v>
      </c>
      <c r="F45" s="8">
        <f t="shared" si="17"/>
        <v>94887.52</v>
      </c>
      <c r="G45" s="8">
        <f t="shared" si="17"/>
        <v>58122.020000000004</v>
      </c>
      <c r="H45" s="8">
        <f t="shared" si="17"/>
        <v>111733.95</v>
      </c>
      <c r="I45" s="8">
        <f t="shared" si="17"/>
        <v>62416.21</v>
      </c>
      <c r="J45" s="8">
        <f t="shared" si="17"/>
        <v>58236.44</v>
      </c>
      <c r="K45" s="8">
        <f t="shared" si="17"/>
        <v>89984.91</v>
      </c>
      <c r="L45" s="8">
        <f t="shared" si="17"/>
        <v>95375.85</v>
      </c>
      <c r="M45" s="8">
        <f t="shared" si="17"/>
        <v>144418.44</v>
      </c>
    </row>
    <row r="46" spans="1:13" x14ac:dyDescent="0.3">
      <c r="A46" s="5" t="s">
        <v>313</v>
      </c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</row>
    <row r="47" spans="1:13" x14ac:dyDescent="0.3">
      <c r="A47" s="5" t="s">
        <v>312</v>
      </c>
      <c r="B47" s="7">
        <f>0</f>
        <v>0</v>
      </c>
      <c r="C47" s="7">
        <f t="shared" ref="C47:M48" si="18">B47</f>
        <v>0</v>
      </c>
      <c r="D47" s="7">
        <f t="shared" si="18"/>
        <v>0</v>
      </c>
      <c r="E47" s="7">
        <f t="shared" si="18"/>
        <v>0</v>
      </c>
      <c r="F47" s="7">
        <f t="shared" si="18"/>
        <v>0</v>
      </c>
      <c r="G47" s="7">
        <f t="shared" si="18"/>
        <v>0</v>
      </c>
      <c r="H47" s="7">
        <f t="shared" si="18"/>
        <v>0</v>
      </c>
      <c r="I47" s="7">
        <f t="shared" si="18"/>
        <v>0</v>
      </c>
      <c r="J47" s="7">
        <f t="shared" si="18"/>
        <v>0</v>
      </c>
      <c r="K47" s="7">
        <f t="shared" si="18"/>
        <v>0</v>
      </c>
      <c r="L47" s="7">
        <f t="shared" si="18"/>
        <v>0</v>
      </c>
      <c r="M47" s="7">
        <f t="shared" si="18"/>
        <v>0</v>
      </c>
    </row>
    <row r="48" spans="1:13" x14ac:dyDescent="0.3">
      <c r="A48" s="5" t="s">
        <v>311</v>
      </c>
      <c r="B48" s="7">
        <f>28687.51</f>
        <v>28687.51</v>
      </c>
      <c r="C48" s="7">
        <f>11000</f>
        <v>11000</v>
      </c>
      <c r="D48" s="7">
        <f>C48</f>
        <v>11000</v>
      </c>
      <c r="E48" s="7">
        <f>D48</f>
        <v>11000</v>
      </c>
      <c r="F48" s="7">
        <f>E48</f>
        <v>11000</v>
      </c>
      <c r="G48" s="7">
        <f>0</f>
        <v>0</v>
      </c>
      <c r="H48" s="7">
        <f t="shared" si="18"/>
        <v>0</v>
      </c>
      <c r="I48" s="7">
        <f t="shared" si="18"/>
        <v>0</v>
      </c>
      <c r="J48" s="7">
        <f t="shared" si="18"/>
        <v>0</v>
      </c>
      <c r="K48" s="7">
        <f t="shared" si="18"/>
        <v>0</v>
      </c>
      <c r="L48" s="7">
        <f t="shared" si="18"/>
        <v>0</v>
      </c>
      <c r="M48" s="7">
        <f t="shared" si="18"/>
        <v>0</v>
      </c>
    </row>
    <row r="49" spans="1:13" x14ac:dyDescent="0.3">
      <c r="A49" s="5" t="s">
        <v>310</v>
      </c>
      <c r="B49" s="7">
        <f>174953.15</f>
        <v>174953.15</v>
      </c>
      <c r="C49" s="7">
        <f>202076</f>
        <v>202076</v>
      </c>
      <c r="D49" s="7">
        <f>198337.38</f>
        <v>198337.38</v>
      </c>
      <c r="E49" s="7">
        <f>194553</f>
        <v>194553</v>
      </c>
      <c r="F49" s="7">
        <f>190722.29</f>
        <v>190722.29</v>
      </c>
      <c r="G49" s="7">
        <f>197844.69</f>
        <v>197844.69</v>
      </c>
      <c r="H49" s="7">
        <f>193919.63</f>
        <v>193919.63</v>
      </c>
      <c r="I49" s="7">
        <f>189946.52</f>
        <v>189946.52</v>
      </c>
      <c r="J49" s="7">
        <f>185924.77</f>
        <v>185924.77</v>
      </c>
      <c r="K49" s="7">
        <f>180736.93</f>
        <v>180736.93</v>
      </c>
      <c r="L49" s="7">
        <f>176384.17</f>
        <v>176384.17</v>
      </c>
      <c r="M49" s="7">
        <f>171978.02</f>
        <v>171978.02</v>
      </c>
    </row>
    <row r="50" spans="1:13" x14ac:dyDescent="0.3">
      <c r="A50" s="5" t="s">
        <v>309</v>
      </c>
      <c r="B50" s="7">
        <f>1692.32</f>
        <v>1692.32</v>
      </c>
      <c r="C50" s="7">
        <f t="shared" ref="C50:J53" si="19">B50</f>
        <v>1692.32</v>
      </c>
      <c r="D50" s="7">
        <f t="shared" si="19"/>
        <v>1692.32</v>
      </c>
      <c r="E50" s="7">
        <f t="shared" si="19"/>
        <v>1692.32</v>
      </c>
      <c r="F50" s="7">
        <f t="shared" si="19"/>
        <v>1692.32</v>
      </c>
      <c r="G50" s="7">
        <f t="shared" si="19"/>
        <v>1692.32</v>
      </c>
      <c r="H50" s="7">
        <f t="shared" si="19"/>
        <v>1692.32</v>
      </c>
      <c r="I50" s="7">
        <f t="shared" si="19"/>
        <v>1692.32</v>
      </c>
      <c r="J50" s="7">
        <f t="shared" si="19"/>
        <v>1692.32</v>
      </c>
      <c r="K50" s="7">
        <f>0</f>
        <v>0</v>
      </c>
      <c r="L50" s="7">
        <f t="shared" ref="L50:M53" si="20">K50</f>
        <v>0</v>
      </c>
      <c r="M50" s="7">
        <f t="shared" si="20"/>
        <v>0</v>
      </c>
    </row>
    <row r="51" spans="1:13" x14ac:dyDescent="0.3">
      <c r="A51" s="5" t="s">
        <v>308</v>
      </c>
      <c r="B51" s="7">
        <f>0</f>
        <v>0</v>
      </c>
      <c r="C51" s="7">
        <f t="shared" si="19"/>
        <v>0</v>
      </c>
      <c r="D51" s="7">
        <f t="shared" si="19"/>
        <v>0</v>
      </c>
      <c r="E51" s="7">
        <f t="shared" si="19"/>
        <v>0</v>
      </c>
      <c r="F51" s="7">
        <f t="shared" si="19"/>
        <v>0</v>
      </c>
      <c r="G51" s="7">
        <f t="shared" si="19"/>
        <v>0</v>
      </c>
      <c r="H51" s="7">
        <f t="shared" si="19"/>
        <v>0</v>
      </c>
      <c r="I51" s="7">
        <f t="shared" si="19"/>
        <v>0</v>
      </c>
      <c r="J51" s="7">
        <f t="shared" si="19"/>
        <v>0</v>
      </c>
      <c r="K51" s="7">
        <f>J51</f>
        <v>0</v>
      </c>
      <c r="L51" s="7">
        <f t="shared" si="20"/>
        <v>0</v>
      </c>
      <c r="M51" s="7">
        <f t="shared" si="20"/>
        <v>0</v>
      </c>
    </row>
    <row r="52" spans="1:13" x14ac:dyDescent="0.3">
      <c r="A52" s="5" t="s">
        <v>307</v>
      </c>
      <c r="B52" s="7">
        <f>0</f>
        <v>0</v>
      </c>
      <c r="C52" s="7">
        <f t="shared" si="19"/>
        <v>0</v>
      </c>
      <c r="D52" s="7">
        <f t="shared" si="19"/>
        <v>0</v>
      </c>
      <c r="E52" s="7">
        <f t="shared" si="19"/>
        <v>0</v>
      </c>
      <c r="F52" s="7">
        <f t="shared" si="19"/>
        <v>0</v>
      </c>
      <c r="G52" s="7">
        <f t="shared" si="19"/>
        <v>0</v>
      </c>
      <c r="H52" s="7">
        <f t="shared" si="19"/>
        <v>0</v>
      </c>
      <c r="I52" s="7">
        <f t="shared" si="19"/>
        <v>0</v>
      </c>
      <c r="J52" s="7">
        <f t="shared" si="19"/>
        <v>0</v>
      </c>
      <c r="K52" s="7">
        <f>J52</f>
        <v>0</v>
      </c>
      <c r="L52" s="7">
        <f t="shared" si="20"/>
        <v>0</v>
      </c>
      <c r="M52" s="7">
        <f t="shared" si="20"/>
        <v>0</v>
      </c>
    </row>
    <row r="53" spans="1:13" x14ac:dyDescent="0.3">
      <c r="A53" s="5" t="s">
        <v>306</v>
      </c>
      <c r="B53" s="7">
        <f>0</f>
        <v>0</v>
      </c>
      <c r="C53" s="7">
        <f t="shared" si="19"/>
        <v>0</v>
      </c>
      <c r="D53" s="7">
        <f t="shared" si="19"/>
        <v>0</v>
      </c>
      <c r="E53" s="7">
        <f t="shared" si="19"/>
        <v>0</v>
      </c>
      <c r="F53" s="7">
        <f t="shared" si="19"/>
        <v>0</v>
      </c>
      <c r="G53" s="7">
        <f t="shared" si="19"/>
        <v>0</v>
      </c>
      <c r="H53" s="7">
        <f t="shared" si="19"/>
        <v>0</v>
      </c>
      <c r="I53" s="7">
        <f t="shared" si="19"/>
        <v>0</v>
      </c>
      <c r="J53" s="7">
        <f t="shared" si="19"/>
        <v>0</v>
      </c>
      <c r="K53" s="7">
        <f>J53</f>
        <v>0</v>
      </c>
      <c r="L53" s="7">
        <f t="shared" si="20"/>
        <v>0</v>
      </c>
      <c r="M53" s="7">
        <f t="shared" si="20"/>
        <v>0</v>
      </c>
    </row>
    <row r="54" spans="1:13" x14ac:dyDescent="0.3">
      <c r="A54" s="5" t="s">
        <v>305</v>
      </c>
      <c r="B54" s="8">
        <f t="shared" ref="B54:M54" si="21">(B52)+(B53)</f>
        <v>0</v>
      </c>
      <c r="C54" s="8">
        <f t="shared" si="21"/>
        <v>0</v>
      </c>
      <c r="D54" s="8">
        <f t="shared" si="21"/>
        <v>0</v>
      </c>
      <c r="E54" s="8">
        <f t="shared" si="21"/>
        <v>0</v>
      </c>
      <c r="F54" s="8">
        <f t="shared" si="21"/>
        <v>0</v>
      </c>
      <c r="G54" s="8">
        <f t="shared" si="21"/>
        <v>0</v>
      </c>
      <c r="H54" s="8">
        <f t="shared" si="21"/>
        <v>0</v>
      </c>
      <c r="I54" s="8">
        <f t="shared" si="21"/>
        <v>0</v>
      </c>
      <c r="J54" s="8">
        <f t="shared" si="21"/>
        <v>0</v>
      </c>
      <c r="K54" s="8">
        <f t="shared" si="21"/>
        <v>0</v>
      </c>
      <c r="L54" s="8">
        <f t="shared" si="21"/>
        <v>0</v>
      </c>
      <c r="M54" s="8">
        <f t="shared" si="21"/>
        <v>0</v>
      </c>
    </row>
    <row r="55" spans="1:13" x14ac:dyDescent="0.3">
      <c r="A55" s="5" t="s">
        <v>304</v>
      </c>
      <c r="B55" s="7">
        <f>0</f>
        <v>0</v>
      </c>
      <c r="C55" s="7">
        <f>0</f>
        <v>0</v>
      </c>
      <c r="D55" s="7">
        <f>0</f>
        <v>0</v>
      </c>
      <c r="E55" s="7">
        <f>19997.17</f>
        <v>19997.169999999998</v>
      </c>
      <c r="F55" s="7">
        <f>0</f>
        <v>0</v>
      </c>
      <c r="G55" s="7">
        <f>0</f>
        <v>0</v>
      </c>
      <c r="H55" s="7">
        <f>0</f>
        <v>0</v>
      </c>
      <c r="I55" s="7">
        <f>0</f>
        <v>0</v>
      </c>
      <c r="J55" s="7">
        <f>0</f>
        <v>0</v>
      </c>
      <c r="K55" s="7">
        <f>0</f>
        <v>0</v>
      </c>
      <c r="L55" s="7">
        <f>0</f>
        <v>0</v>
      </c>
      <c r="M55" s="7">
        <f>0</f>
        <v>0</v>
      </c>
    </row>
    <row r="56" spans="1:13" x14ac:dyDescent="0.3">
      <c r="A56" s="5" t="s">
        <v>303</v>
      </c>
      <c r="B56" s="6"/>
      <c r="C56" s="7">
        <f t="shared" ref="C56:M59" si="22">B56</f>
        <v>0</v>
      </c>
      <c r="D56" s="7">
        <f t="shared" si="22"/>
        <v>0</v>
      </c>
      <c r="E56" s="7">
        <f t="shared" si="22"/>
        <v>0</v>
      </c>
      <c r="F56" s="7">
        <f t="shared" si="22"/>
        <v>0</v>
      </c>
      <c r="G56" s="7">
        <f t="shared" si="22"/>
        <v>0</v>
      </c>
      <c r="H56" s="7">
        <f t="shared" si="22"/>
        <v>0</v>
      </c>
      <c r="I56" s="7">
        <f t="shared" si="22"/>
        <v>0</v>
      </c>
      <c r="J56" s="7">
        <f t="shared" si="22"/>
        <v>0</v>
      </c>
      <c r="K56" s="7">
        <f t="shared" si="22"/>
        <v>0</v>
      </c>
      <c r="L56" s="7">
        <f t="shared" si="22"/>
        <v>0</v>
      </c>
      <c r="M56" s="7">
        <f t="shared" si="22"/>
        <v>0</v>
      </c>
    </row>
    <row r="57" spans="1:13" x14ac:dyDescent="0.3">
      <c r="A57" s="5" t="s">
        <v>302</v>
      </c>
      <c r="B57" s="7">
        <f>0</f>
        <v>0</v>
      </c>
      <c r="C57" s="7">
        <f t="shared" si="22"/>
        <v>0</v>
      </c>
      <c r="D57" s="7">
        <f t="shared" si="22"/>
        <v>0</v>
      </c>
      <c r="E57" s="7">
        <f t="shared" si="22"/>
        <v>0</v>
      </c>
      <c r="F57" s="7">
        <f t="shared" si="22"/>
        <v>0</v>
      </c>
      <c r="G57" s="7">
        <f t="shared" si="22"/>
        <v>0</v>
      </c>
      <c r="H57" s="7">
        <f t="shared" si="22"/>
        <v>0</v>
      </c>
      <c r="I57" s="7">
        <f t="shared" si="22"/>
        <v>0</v>
      </c>
      <c r="J57" s="7">
        <f t="shared" si="22"/>
        <v>0</v>
      </c>
      <c r="K57" s="7">
        <f t="shared" si="22"/>
        <v>0</v>
      </c>
      <c r="L57" s="7">
        <f t="shared" si="22"/>
        <v>0</v>
      </c>
      <c r="M57" s="7">
        <f t="shared" si="22"/>
        <v>0</v>
      </c>
    </row>
    <row r="58" spans="1:13" x14ac:dyDescent="0.3">
      <c r="A58" s="5" t="s">
        <v>301</v>
      </c>
      <c r="B58" s="7">
        <f>0</f>
        <v>0</v>
      </c>
      <c r="C58" s="7">
        <f t="shared" si="22"/>
        <v>0</v>
      </c>
      <c r="D58" s="7">
        <f t="shared" si="22"/>
        <v>0</v>
      </c>
      <c r="E58" s="7">
        <f t="shared" si="22"/>
        <v>0</v>
      </c>
      <c r="F58" s="7">
        <f t="shared" si="22"/>
        <v>0</v>
      </c>
      <c r="G58" s="7">
        <f t="shared" si="22"/>
        <v>0</v>
      </c>
      <c r="H58" s="7">
        <f t="shared" si="22"/>
        <v>0</v>
      </c>
      <c r="I58" s="7">
        <f t="shared" si="22"/>
        <v>0</v>
      </c>
      <c r="J58" s="7">
        <f t="shared" si="22"/>
        <v>0</v>
      </c>
      <c r="K58" s="7">
        <f t="shared" si="22"/>
        <v>0</v>
      </c>
      <c r="L58" s="7">
        <f t="shared" si="22"/>
        <v>0</v>
      </c>
      <c r="M58" s="7">
        <f t="shared" si="22"/>
        <v>0</v>
      </c>
    </row>
    <row r="59" spans="1:13" x14ac:dyDescent="0.3">
      <c r="A59" s="5" t="s">
        <v>300</v>
      </c>
      <c r="B59" s="7">
        <f>0</f>
        <v>0</v>
      </c>
      <c r="C59" s="7">
        <f t="shared" si="22"/>
        <v>0</v>
      </c>
      <c r="D59" s="7">
        <f t="shared" si="22"/>
        <v>0</v>
      </c>
      <c r="E59" s="7">
        <f t="shared" si="22"/>
        <v>0</v>
      </c>
      <c r="F59" s="7">
        <f t="shared" si="22"/>
        <v>0</v>
      </c>
      <c r="G59" s="7">
        <f t="shared" si="22"/>
        <v>0</v>
      </c>
      <c r="H59" s="7">
        <f t="shared" si="22"/>
        <v>0</v>
      </c>
      <c r="I59" s="7">
        <f t="shared" si="22"/>
        <v>0</v>
      </c>
      <c r="J59" s="7">
        <f t="shared" si="22"/>
        <v>0</v>
      </c>
      <c r="K59" s="7">
        <f t="shared" si="22"/>
        <v>0</v>
      </c>
      <c r="L59" s="7">
        <f t="shared" si="22"/>
        <v>0</v>
      </c>
      <c r="M59" s="7">
        <f t="shared" si="22"/>
        <v>0</v>
      </c>
    </row>
    <row r="60" spans="1:13" x14ac:dyDescent="0.3">
      <c r="A60" s="5" t="s">
        <v>299</v>
      </c>
      <c r="B60" s="8">
        <f t="shared" ref="B60:M60" si="23">(((B56)+(B57))+(B58))+(B59)</f>
        <v>0</v>
      </c>
      <c r="C60" s="8">
        <f t="shared" si="23"/>
        <v>0</v>
      </c>
      <c r="D60" s="8">
        <f t="shared" si="23"/>
        <v>0</v>
      </c>
      <c r="E60" s="8">
        <f t="shared" si="23"/>
        <v>0</v>
      </c>
      <c r="F60" s="8">
        <f t="shared" si="23"/>
        <v>0</v>
      </c>
      <c r="G60" s="8">
        <f t="shared" si="23"/>
        <v>0</v>
      </c>
      <c r="H60" s="8">
        <f t="shared" si="23"/>
        <v>0</v>
      </c>
      <c r="I60" s="8">
        <f t="shared" si="23"/>
        <v>0</v>
      </c>
      <c r="J60" s="8">
        <f t="shared" si="23"/>
        <v>0</v>
      </c>
      <c r="K60" s="8">
        <f t="shared" si="23"/>
        <v>0</v>
      </c>
      <c r="L60" s="8">
        <f t="shared" si="23"/>
        <v>0</v>
      </c>
      <c r="M60" s="8">
        <f t="shared" si="23"/>
        <v>0</v>
      </c>
    </row>
    <row r="61" spans="1:13" x14ac:dyDescent="0.3">
      <c r="A61" s="5" t="s">
        <v>298</v>
      </c>
      <c r="B61" s="7">
        <f>0</f>
        <v>0</v>
      </c>
      <c r="C61" s="7">
        <f t="shared" ref="C61:M61" si="24">B61</f>
        <v>0</v>
      </c>
      <c r="D61" s="7">
        <f t="shared" si="24"/>
        <v>0</v>
      </c>
      <c r="E61" s="7">
        <f t="shared" si="24"/>
        <v>0</v>
      </c>
      <c r="F61" s="7">
        <f t="shared" si="24"/>
        <v>0</v>
      </c>
      <c r="G61" s="7">
        <f t="shared" si="24"/>
        <v>0</v>
      </c>
      <c r="H61" s="7">
        <f t="shared" si="24"/>
        <v>0</v>
      </c>
      <c r="I61" s="7">
        <f t="shared" si="24"/>
        <v>0</v>
      </c>
      <c r="J61" s="7">
        <f t="shared" si="24"/>
        <v>0</v>
      </c>
      <c r="K61" s="7">
        <f t="shared" si="24"/>
        <v>0</v>
      </c>
      <c r="L61" s="7">
        <f t="shared" si="24"/>
        <v>0</v>
      </c>
      <c r="M61" s="7">
        <f t="shared" si="24"/>
        <v>0</v>
      </c>
    </row>
    <row r="62" spans="1:13" x14ac:dyDescent="0.3">
      <c r="A62" s="5" t="s">
        <v>297</v>
      </c>
      <c r="B62" s="8">
        <f t="shared" ref="B62:M62" si="25">((((((((B47)+(B48))+(B49))+(B50))+(B51))+(B54))+(B55))+(B60))+(B61)</f>
        <v>205332.98</v>
      </c>
      <c r="C62" s="8">
        <f t="shared" si="25"/>
        <v>214768.32</v>
      </c>
      <c r="D62" s="8">
        <f t="shared" si="25"/>
        <v>211029.7</v>
      </c>
      <c r="E62" s="8">
        <f t="shared" si="25"/>
        <v>227242.49</v>
      </c>
      <c r="F62" s="8">
        <f t="shared" si="25"/>
        <v>203414.61000000002</v>
      </c>
      <c r="G62" s="8">
        <f t="shared" si="25"/>
        <v>199537.01</v>
      </c>
      <c r="H62" s="8">
        <f t="shared" si="25"/>
        <v>195611.95</v>
      </c>
      <c r="I62" s="8">
        <f t="shared" si="25"/>
        <v>191638.84</v>
      </c>
      <c r="J62" s="8">
        <f t="shared" si="25"/>
        <v>187617.09</v>
      </c>
      <c r="K62" s="8">
        <f t="shared" si="25"/>
        <v>180736.93</v>
      </c>
      <c r="L62" s="8">
        <f t="shared" si="25"/>
        <v>176384.17</v>
      </c>
      <c r="M62" s="8">
        <f t="shared" si="25"/>
        <v>171978.02</v>
      </c>
    </row>
    <row r="63" spans="1:13" x14ac:dyDescent="0.3">
      <c r="A63" s="5" t="s">
        <v>296</v>
      </c>
      <c r="B63" s="8">
        <f t="shared" ref="B63:M63" si="26">((B33)+(B45))+(B62)</f>
        <v>231161.12</v>
      </c>
      <c r="C63" s="8">
        <f t="shared" si="26"/>
        <v>231426.06</v>
      </c>
      <c r="D63" s="8">
        <f t="shared" si="26"/>
        <v>280323.18000000005</v>
      </c>
      <c r="E63" s="8">
        <f t="shared" si="26"/>
        <v>292353.89</v>
      </c>
      <c r="F63" s="8">
        <f t="shared" si="26"/>
        <v>298302.13</v>
      </c>
      <c r="G63" s="8">
        <f t="shared" si="26"/>
        <v>257659.03000000003</v>
      </c>
      <c r="H63" s="8">
        <f t="shared" si="26"/>
        <v>307345.90000000002</v>
      </c>
      <c r="I63" s="8">
        <f t="shared" si="26"/>
        <v>280969.67</v>
      </c>
      <c r="J63" s="8">
        <f t="shared" si="26"/>
        <v>277267.5</v>
      </c>
      <c r="K63" s="8">
        <f t="shared" si="26"/>
        <v>272862.14</v>
      </c>
      <c r="L63" s="8">
        <f t="shared" si="26"/>
        <v>278664.65000000002</v>
      </c>
      <c r="M63" s="8">
        <f t="shared" si="26"/>
        <v>316396.45999999996</v>
      </c>
    </row>
    <row r="64" spans="1:13" x14ac:dyDescent="0.3">
      <c r="A64" s="5" t="s">
        <v>295</v>
      </c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</row>
    <row r="65" spans="1:13" x14ac:dyDescent="0.3">
      <c r="A65" s="5" t="s">
        <v>294</v>
      </c>
      <c r="B65" s="6"/>
      <c r="C65" s="7">
        <f t="shared" ref="C65:M67" si="27">B65</f>
        <v>0</v>
      </c>
      <c r="D65" s="7">
        <f t="shared" si="27"/>
        <v>0</v>
      </c>
      <c r="E65" s="7">
        <f t="shared" si="27"/>
        <v>0</v>
      </c>
      <c r="F65" s="7">
        <f t="shared" si="27"/>
        <v>0</v>
      </c>
      <c r="G65" s="7">
        <f t="shared" si="27"/>
        <v>0</v>
      </c>
      <c r="H65" s="7">
        <f t="shared" si="27"/>
        <v>0</v>
      </c>
      <c r="I65" s="7">
        <f t="shared" si="27"/>
        <v>0</v>
      </c>
      <c r="J65" s="7">
        <f t="shared" si="27"/>
        <v>0</v>
      </c>
      <c r="K65" s="7">
        <f t="shared" si="27"/>
        <v>0</v>
      </c>
      <c r="L65" s="7">
        <f t="shared" si="27"/>
        <v>0</v>
      </c>
      <c r="M65" s="7">
        <f t="shared" si="27"/>
        <v>0</v>
      </c>
    </row>
    <row r="66" spans="1:13" x14ac:dyDescent="0.3">
      <c r="A66" s="5" t="s">
        <v>293</v>
      </c>
      <c r="B66" s="7">
        <f>0</f>
        <v>0</v>
      </c>
      <c r="C66" s="7">
        <f t="shared" si="27"/>
        <v>0</v>
      </c>
      <c r="D66" s="7">
        <f t="shared" si="27"/>
        <v>0</v>
      </c>
      <c r="E66" s="7">
        <f t="shared" si="27"/>
        <v>0</v>
      </c>
      <c r="F66" s="7">
        <f t="shared" si="27"/>
        <v>0</v>
      </c>
      <c r="G66" s="7">
        <f t="shared" si="27"/>
        <v>0</v>
      </c>
      <c r="H66" s="7">
        <f t="shared" si="27"/>
        <v>0</v>
      </c>
      <c r="I66" s="7">
        <f t="shared" si="27"/>
        <v>0</v>
      </c>
      <c r="J66" s="7">
        <f t="shared" si="27"/>
        <v>0</v>
      </c>
      <c r="K66" s="7">
        <f t="shared" si="27"/>
        <v>0</v>
      </c>
      <c r="L66" s="7">
        <f t="shared" si="27"/>
        <v>0</v>
      </c>
      <c r="M66" s="7">
        <f t="shared" si="27"/>
        <v>0</v>
      </c>
    </row>
    <row r="67" spans="1:13" x14ac:dyDescent="0.3">
      <c r="A67" s="5" t="s">
        <v>292</v>
      </c>
      <c r="B67" s="7">
        <f>0</f>
        <v>0</v>
      </c>
      <c r="C67" s="7">
        <f t="shared" si="27"/>
        <v>0</v>
      </c>
      <c r="D67" s="7">
        <f t="shared" si="27"/>
        <v>0</v>
      </c>
      <c r="E67" s="7">
        <f t="shared" si="27"/>
        <v>0</v>
      </c>
      <c r="F67" s="7">
        <f t="shared" si="27"/>
        <v>0</v>
      </c>
      <c r="G67" s="7">
        <f t="shared" si="27"/>
        <v>0</v>
      </c>
      <c r="H67" s="7">
        <f t="shared" si="27"/>
        <v>0</v>
      </c>
      <c r="I67" s="7">
        <f t="shared" si="27"/>
        <v>0</v>
      </c>
      <c r="J67" s="7">
        <f t="shared" si="27"/>
        <v>0</v>
      </c>
      <c r="K67" s="7">
        <f t="shared" si="27"/>
        <v>0</v>
      </c>
      <c r="L67" s="7">
        <f t="shared" si="27"/>
        <v>0</v>
      </c>
      <c r="M67" s="7">
        <f t="shared" si="27"/>
        <v>0</v>
      </c>
    </row>
    <row r="68" spans="1:13" x14ac:dyDescent="0.3">
      <c r="A68" s="5" t="s">
        <v>291</v>
      </c>
      <c r="B68" s="8">
        <f t="shared" ref="B68:M68" si="28">(B66)+(B67)</f>
        <v>0</v>
      </c>
      <c r="C68" s="8">
        <f t="shared" si="28"/>
        <v>0</v>
      </c>
      <c r="D68" s="8">
        <f t="shared" si="28"/>
        <v>0</v>
      </c>
      <c r="E68" s="8">
        <f t="shared" si="28"/>
        <v>0</v>
      </c>
      <c r="F68" s="8">
        <f t="shared" si="28"/>
        <v>0</v>
      </c>
      <c r="G68" s="8">
        <f t="shared" si="28"/>
        <v>0</v>
      </c>
      <c r="H68" s="8">
        <f t="shared" si="28"/>
        <v>0</v>
      </c>
      <c r="I68" s="8">
        <f t="shared" si="28"/>
        <v>0</v>
      </c>
      <c r="J68" s="8">
        <f t="shared" si="28"/>
        <v>0</v>
      </c>
      <c r="K68" s="8">
        <f t="shared" si="28"/>
        <v>0</v>
      </c>
      <c r="L68" s="8">
        <f t="shared" si="28"/>
        <v>0</v>
      </c>
      <c r="M68" s="8">
        <f t="shared" si="28"/>
        <v>0</v>
      </c>
    </row>
    <row r="69" spans="1:13" x14ac:dyDescent="0.3">
      <c r="A69" s="5" t="s">
        <v>290</v>
      </c>
      <c r="B69" s="7">
        <f>0</f>
        <v>0</v>
      </c>
      <c r="C69" s="7">
        <f t="shared" ref="C69:M70" si="29">B69</f>
        <v>0</v>
      </c>
      <c r="D69" s="7">
        <f t="shared" si="29"/>
        <v>0</v>
      </c>
      <c r="E69" s="7">
        <f t="shared" si="29"/>
        <v>0</v>
      </c>
      <c r="F69" s="7">
        <f t="shared" si="29"/>
        <v>0</v>
      </c>
      <c r="G69" s="7">
        <f t="shared" si="29"/>
        <v>0</v>
      </c>
      <c r="H69" s="7">
        <f t="shared" si="29"/>
        <v>0</v>
      </c>
      <c r="I69" s="7">
        <f t="shared" si="29"/>
        <v>0</v>
      </c>
      <c r="J69" s="7">
        <f t="shared" si="29"/>
        <v>0</v>
      </c>
      <c r="K69" s="7">
        <f t="shared" si="29"/>
        <v>0</v>
      </c>
      <c r="L69" s="7">
        <f t="shared" si="29"/>
        <v>0</v>
      </c>
      <c r="M69" s="7">
        <f t="shared" si="29"/>
        <v>0</v>
      </c>
    </row>
    <row r="70" spans="1:13" x14ac:dyDescent="0.3">
      <c r="A70" s="5" t="s">
        <v>289</v>
      </c>
      <c r="B70" s="7">
        <f>0</f>
        <v>0</v>
      </c>
      <c r="C70" s="7">
        <f t="shared" si="29"/>
        <v>0</v>
      </c>
      <c r="D70" s="7">
        <f t="shared" si="29"/>
        <v>0</v>
      </c>
      <c r="E70" s="7">
        <f t="shared" si="29"/>
        <v>0</v>
      </c>
      <c r="F70" s="7">
        <f t="shared" si="29"/>
        <v>0</v>
      </c>
      <c r="G70" s="7">
        <f t="shared" si="29"/>
        <v>0</v>
      </c>
      <c r="H70" s="7">
        <f t="shared" si="29"/>
        <v>0</v>
      </c>
      <c r="I70" s="7">
        <f t="shared" si="29"/>
        <v>0</v>
      </c>
      <c r="J70" s="7">
        <f t="shared" si="29"/>
        <v>0</v>
      </c>
      <c r="K70" s="7">
        <f t="shared" si="29"/>
        <v>0</v>
      </c>
      <c r="L70" s="7">
        <f t="shared" si="29"/>
        <v>0</v>
      </c>
      <c r="M70" s="7">
        <f t="shared" si="29"/>
        <v>0</v>
      </c>
    </row>
    <row r="71" spans="1:13" x14ac:dyDescent="0.3">
      <c r="A71" s="5" t="s">
        <v>288</v>
      </c>
      <c r="B71" s="8">
        <f t="shared" ref="B71:M71" si="30">(B69)+(B70)</f>
        <v>0</v>
      </c>
      <c r="C71" s="8">
        <f t="shared" si="30"/>
        <v>0</v>
      </c>
      <c r="D71" s="8">
        <f t="shared" si="30"/>
        <v>0</v>
      </c>
      <c r="E71" s="8">
        <f t="shared" si="30"/>
        <v>0</v>
      </c>
      <c r="F71" s="8">
        <f t="shared" si="30"/>
        <v>0</v>
      </c>
      <c r="G71" s="8">
        <f t="shared" si="30"/>
        <v>0</v>
      </c>
      <c r="H71" s="8">
        <f t="shared" si="30"/>
        <v>0</v>
      </c>
      <c r="I71" s="8">
        <f t="shared" si="30"/>
        <v>0</v>
      </c>
      <c r="J71" s="8">
        <f t="shared" si="30"/>
        <v>0</v>
      </c>
      <c r="K71" s="8">
        <f t="shared" si="30"/>
        <v>0</v>
      </c>
      <c r="L71" s="8">
        <f t="shared" si="30"/>
        <v>0</v>
      </c>
      <c r="M71" s="8">
        <f t="shared" si="30"/>
        <v>0</v>
      </c>
    </row>
    <row r="72" spans="1:13" x14ac:dyDescent="0.3">
      <c r="A72" s="5" t="s">
        <v>287</v>
      </c>
      <c r="B72" s="7">
        <f>158000</f>
        <v>158000</v>
      </c>
      <c r="C72" s="7">
        <f t="shared" ref="C72:F73" si="31">B72</f>
        <v>158000</v>
      </c>
      <c r="D72" s="7">
        <f t="shared" si="31"/>
        <v>158000</v>
      </c>
      <c r="E72" s="7">
        <f t="shared" si="31"/>
        <v>158000</v>
      </c>
      <c r="F72" s="7">
        <f t="shared" si="31"/>
        <v>158000</v>
      </c>
      <c r="G72" s="7">
        <f>0</f>
        <v>0</v>
      </c>
      <c r="H72" s="7">
        <f t="shared" ref="H72:M73" si="32">G72</f>
        <v>0</v>
      </c>
      <c r="I72" s="7">
        <f t="shared" si="32"/>
        <v>0</v>
      </c>
      <c r="J72" s="7">
        <f t="shared" si="32"/>
        <v>0</v>
      </c>
      <c r="K72" s="7">
        <f t="shared" si="32"/>
        <v>0</v>
      </c>
      <c r="L72" s="7">
        <f t="shared" si="32"/>
        <v>0</v>
      </c>
      <c r="M72" s="7">
        <f t="shared" si="32"/>
        <v>0</v>
      </c>
    </row>
    <row r="73" spans="1:13" x14ac:dyDescent="0.3">
      <c r="A73" s="5" t="s">
        <v>286</v>
      </c>
      <c r="B73" s="7">
        <f>7139.95</f>
        <v>7139.95</v>
      </c>
      <c r="C73" s="7">
        <f t="shared" si="31"/>
        <v>7139.95</v>
      </c>
      <c r="D73" s="7">
        <f t="shared" si="31"/>
        <v>7139.95</v>
      </c>
      <c r="E73" s="7">
        <f t="shared" si="31"/>
        <v>7139.95</v>
      </c>
      <c r="F73" s="7">
        <f t="shared" si="31"/>
        <v>7139.95</v>
      </c>
      <c r="G73" s="7">
        <f>0</f>
        <v>0</v>
      </c>
      <c r="H73" s="7">
        <f t="shared" si="32"/>
        <v>0</v>
      </c>
      <c r="I73" s="7">
        <f t="shared" si="32"/>
        <v>0</v>
      </c>
      <c r="J73" s="7">
        <f t="shared" si="32"/>
        <v>0</v>
      </c>
      <c r="K73" s="7">
        <f t="shared" si="32"/>
        <v>0</v>
      </c>
      <c r="L73" s="7">
        <f t="shared" si="32"/>
        <v>0</v>
      </c>
      <c r="M73" s="7">
        <f t="shared" si="32"/>
        <v>0</v>
      </c>
    </row>
    <row r="74" spans="1:13" x14ac:dyDescent="0.3">
      <c r="A74" s="5" t="s">
        <v>285</v>
      </c>
      <c r="B74" s="8">
        <f t="shared" ref="B74:M74" si="33">(B72)+(B73)</f>
        <v>165139.95000000001</v>
      </c>
      <c r="C74" s="8">
        <f t="shared" si="33"/>
        <v>165139.95000000001</v>
      </c>
      <c r="D74" s="8">
        <f t="shared" si="33"/>
        <v>165139.95000000001</v>
      </c>
      <c r="E74" s="8">
        <f t="shared" si="33"/>
        <v>165139.95000000001</v>
      </c>
      <c r="F74" s="8">
        <f t="shared" si="33"/>
        <v>165139.95000000001</v>
      </c>
      <c r="G74" s="8">
        <f t="shared" si="33"/>
        <v>0</v>
      </c>
      <c r="H74" s="8">
        <f t="shared" si="33"/>
        <v>0</v>
      </c>
      <c r="I74" s="8">
        <f t="shared" si="33"/>
        <v>0</v>
      </c>
      <c r="J74" s="8">
        <f t="shared" si="33"/>
        <v>0</v>
      </c>
      <c r="K74" s="8">
        <f t="shared" si="33"/>
        <v>0</v>
      </c>
      <c r="L74" s="8">
        <f t="shared" si="33"/>
        <v>0</v>
      </c>
      <c r="M74" s="8">
        <f t="shared" si="33"/>
        <v>0</v>
      </c>
    </row>
    <row r="75" spans="1:13" x14ac:dyDescent="0.3">
      <c r="A75" s="5" t="s">
        <v>284</v>
      </c>
      <c r="B75" s="8">
        <f t="shared" ref="B75:M75" si="34">(((B65)+(B68))+(B71))+(B74)</f>
        <v>165139.95000000001</v>
      </c>
      <c r="C75" s="8">
        <f t="shared" si="34"/>
        <v>165139.95000000001</v>
      </c>
      <c r="D75" s="8">
        <f t="shared" si="34"/>
        <v>165139.95000000001</v>
      </c>
      <c r="E75" s="8">
        <f t="shared" si="34"/>
        <v>165139.95000000001</v>
      </c>
      <c r="F75" s="8">
        <f t="shared" si="34"/>
        <v>165139.95000000001</v>
      </c>
      <c r="G75" s="8">
        <f t="shared" si="34"/>
        <v>0</v>
      </c>
      <c r="H75" s="8">
        <f t="shared" si="34"/>
        <v>0</v>
      </c>
      <c r="I75" s="8">
        <f t="shared" si="34"/>
        <v>0</v>
      </c>
      <c r="J75" s="8">
        <f t="shared" si="34"/>
        <v>0</v>
      </c>
      <c r="K75" s="8">
        <f t="shared" si="34"/>
        <v>0</v>
      </c>
      <c r="L75" s="8">
        <f t="shared" si="34"/>
        <v>0</v>
      </c>
      <c r="M75" s="8">
        <f t="shared" si="34"/>
        <v>0</v>
      </c>
    </row>
    <row r="76" spans="1:13" x14ac:dyDescent="0.3">
      <c r="A76" s="5" t="s">
        <v>283</v>
      </c>
      <c r="B76" s="8">
        <f t="shared" ref="B76:M76" si="35">B75</f>
        <v>165139.95000000001</v>
      </c>
      <c r="C76" s="8">
        <f t="shared" si="35"/>
        <v>165139.95000000001</v>
      </c>
      <c r="D76" s="8">
        <f t="shared" si="35"/>
        <v>165139.95000000001</v>
      </c>
      <c r="E76" s="8">
        <f t="shared" si="35"/>
        <v>165139.95000000001</v>
      </c>
      <c r="F76" s="8">
        <f t="shared" si="35"/>
        <v>165139.95000000001</v>
      </c>
      <c r="G76" s="8">
        <f t="shared" si="35"/>
        <v>0</v>
      </c>
      <c r="H76" s="8">
        <f t="shared" si="35"/>
        <v>0</v>
      </c>
      <c r="I76" s="8">
        <f t="shared" si="35"/>
        <v>0</v>
      </c>
      <c r="J76" s="8">
        <f t="shared" si="35"/>
        <v>0</v>
      </c>
      <c r="K76" s="8">
        <f t="shared" si="35"/>
        <v>0</v>
      </c>
      <c r="L76" s="8">
        <f t="shared" si="35"/>
        <v>0</v>
      </c>
      <c r="M76" s="8">
        <f t="shared" si="35"/>
        <v>0</v>
      </c>
    </row>
    <row r="77" spans="1:13" x14ac:dyDescent="0.3">
      <c r="A77" s="5" t="s">
        <v>282</v>
      </c>
      <c r="B77" s="8">
        <f t="shared" ref="B77:M77" si="36">(B63)+(B76)</f>
        <v>396301.07</v>
      </c>
      <c r="C77" s="8">
        <f t="shared" si="36"/>
        <v>396566.01</v>
      </c>
      <c r="D77" s="8">
        <f t="shared" si="36"/>
        <v>445463.13000000006</v>
      </c>
      <c r="E77" s="8">
        <f t="shared" si="36"/>
        <v>457493.84</v>
      </c>
      <c r="F77" s="8">
        <f t="shared" si="36"/>
        <v>463442.08</v>
      </c>
      <c r="G77" s="8">
        <f t="shared" si="36"/>
        <v>257659.03000000003</v>
      </c>
      <c r="H77" s="8">
        <f t="shared" si="36"/>
        <v>307345.90000000002</v>
      </c>
      <c r="I77" s="8">
        <f t="shared" si="36"/>
        <v>280969.67</v>
      </c>
      <c r="J77" s="8">
        <f t="shared" si="36"/>
        <v>277267.5</v>
      </c>
      <c r="K77" s="8">
        <f t="shared" si="36"/>
        <v>272862.14</v>
      </c>
      <c r="L77" s="8">
        <f t="shared" si="36"/>
        <v>278664.65000000002</v>
      </c>
      <c r="M77" s="8">
        <f t="shared" si="36"/>
        <v>316396.45999999996</v>
      </c>
    </row>
    <row r="78" spans="1:13" x14ac:dyDescent="0.3">
      <c r="A78" s="5" t="s">
        <v>281</v>
      </c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</row>
    <row r="79" spans="1:13" x14ac:dyDescent="0.3">
      <c r="A79" s="5" t="s">
        <v>280</v>
      </c>
      <c r="B79" s="7">
        <f>5000</f>
        <v>5000</v>
      </c>
      <c r="C79" s="7">
        <f t="shared" ref="C79:M83" si="37">B79</f>
        <v>5000</v>
      </c>
      <c r="D79" s="7">
        <f t="shared" si="37"/>
        <v>5000</v>
      </c>
      <c r="E79" s="7">
        <f t="shared" si="37"/>
        <v>5000</v>
      </c>
      <c r="F79" s="7">
        <f t="shared" si="37"/>
        <v>5000</v>
      </c>
      <c r="G79" s="7">
        <f t="shared" si="37"/>
        <v>5000</v>
      </c>
      <c r="H79" s="7">
        <f t="shared" si="37"/>
        <v>5000</v>
      </c>
      <c r="I79" s="7">
        <f t="shared" si="37"/>
        <v>5000</v>
      </c>
      <c r="J79" s="7">
        <f t="shared" si="37"/>
        <v>5000</v>
      </c>
      <c r="K79" s="7">
        <f t="shared" si="37"/>
        <v>5000</v>
      </c>
      <c r="L79" s="7">
        <f t="shared" si="37"/>
        <v>5000</v>
      </c>
      <c r="M79" s="7">
        <f t="shared" si="37"/>
        <v>5000</v>
      </c>
    </row>
    <row r="80" spans="1:13" x14ac:dyDescent="0.3">
      <c r="A80" s="5" t="s">
        <v>279</v>
      </c>
      <c r="B80" s="6"/>
      <c r="C80" s="7">
        <f t="shared" si="37"/>
        <v>0</v>
      </c>
      <c r="D80" s="7">
        <f t="shared" si="37"/>
        <v>0</v>
      </c>
      <c r="E80" s="7">
        <f t="shared" si="37"/>
        <v>0</v>
      </c>
      <c r="F80" s="7">
        <f t="shared" si="37"/>
        <v>0</v>
      </c>
      <c r="G80" s="7">
        <f t="shared" si="37"/>
        <v>0</v>
      </c>
      <c r="H80" s="7">
        <f t="shared" si="37"/>
        <v>0</v>
      </c>
      <c r="I80" s="7">
        <f t="shared" si="37"/>
        <v>0</v>
      </c>
      <c r="J80" s="7">
        <f t="shared" si="37"/>
        <v>0</v>
      </c>
      <c r="K80" s="7">
        <f t="shared" si="37"/>
        <v>0</v>
      </c>
      <c r="L80" s="7">
        <f t="shared" si="37"/>
        <v>0</v>
      </c>
      <c r="M80" s="7">
        <f t="shared" si="37"/>
        <v>0</v>
      </c>
    </row>
    <row r="81" spans="1:13" x14ac:dyDescent="0.3">
      <c r="A81" s="5" t="s">
        <v>278</v>
      </c>
      <c r="B81" s="6"/>
      <c r="C81" s="7">
        <f t="shared" si="37"/>
        <v>0</v>
      </c>
      <c r="D81" s="7">
        <f t="shared" si="37"/>
        <v>0</v>
      </c>
      <c r="E81" s="7">
        <f t="shared" si="37"/>
        <v>0</v>
      </c>
      <c r="F81" s="7">
        <f t="shared" si="37"/>
        <v>0</v>
      </c>
      <c r="G81" s="7">
        <f t="shared" si="37"/>
        <v>0</v>
      </c>
      <c r="H81" s="7">
        <f t="shared" si="37"/>
        <v>0</v>
      </c>
      <c r="I81" s="7">
        <f t="shared" si="37"/>
        <v>0</v>
      </c>
      <c r="J81" s="7">
        <f t="shared" si="37"/>
        <v>0</v>
      </c>
      <c r="K81" s="7">
        <f t="shared" si="37"/>
        <v>0</v>
      </c>
      <c r="L81" s="7">
        <f t="shared" si="37"/>
        <v>0</v>
      </c>
      <c r="M81" s="7">
        <f t="shared" si="37"/>
        <v>0</v>
      </c>
    </row>
    <row r="82" spans="1:13" x14ac:dyDescent="0.3">
      <c r="A82" s="5" t="s">
        <v>277</v>
      </c>
      <c r="B82" s="7">
        <f>0</f>
        <v>0</v>
      </c>
      <c r="C82" s="7">
        <f t="shared" si="37"/>
        <v>0</v>
      </c>
      <c r="D82" s="7">
        <f t="shared" si="37"/>
        <v>0</v>
      </c>
      <c r="E82" s="7">
        <f t="shared" si="37"/>
        <v>0</v>
      </c>
      <c r="F82" s="7">
        <f t="shared" si="37"/>
        <v>0</v>
      </c>
      <c r="G82" s="7">
        <f t="shared" si="37"/>
        <v>0</v>
      </c>
      <c r="H82" s="7">
        <f t="shared" si="37"/>
        <v>0</v>
      </c>
      <c r="I82" s="7">
        <f t="shared" si="37"/>
        <v>0</v>
      </c>
      <c r="J82" s="7">
        <f t="shared" si="37"/>
        <v>0</v>
      </c>
      <c r="K82" s="7">
        <f t="shared" si="37"/>
        <v>0</v>
      </c>
      <c r="L82" s="7">
        <f t="shared" si="37"/>
        <v>0</v>
      </c>
      <c r="M82" s="7">
        <f t="shared" si="37"/>
        <v>0</v>
      </c>
    </row>
    <row r="83" spans="1:13" x14ac:dyDescent="0.3">
      <c r="A83" s="5" t="s">
        <v>276</v>
      </c>
      <c r="B83" s="7">
        <f>0</f>
        <v>0</v>
      </c>
      <c r="C83" s="7">
        <f t="shared" si="37"/>
        <v>0</v>
      </c>
      <c r="D83" s="7">
        <f t="shared" si="37"/>
        <v>0</v>
      </c>
      <c r="E83" s="7">
        <f t="shared" si="37"/>
        <v>0</v>
      </c>
      <c r="F83" s="7">
        <f t="shared" si="37"/>
        <v>0</v>
      </c>
      <c r="G83" s="7">
        <f t="shared" si="37"/>
        <v>0</v>
      </c>
      <c r="H83" s="7">
        <f t="shared" si="37"/>
        <v>0</v>
      </c>
      <c r="I83" s="7">
        <f t="shared" si="37"/>
        <v>0</v>
      </c>
      <c r="J83" s="7">
        <f t="shared" si="37"/>
        <v>0</v>
      </c>
      <c r="K83" s="7">
        <f t="shared" si="37"/>
        <v>0</v>
      </c>
      <c r="L83" s="7">
        <f t="shared" si="37"/>
        <v>0</v>
      </c>
      <c r="M83" s="7">
        <f t="shared" si="37"/>
        <v>0</v>
      </c>
    </row>
    <row r="84" spans="1:13" x14ac:dyDescent="0.3">
      <c r="A84" s="5" t="s">
        <v>275</v>
      </c>
      <c r="B84" s="8">
        <f t="shared" ref="B84:M84" si="38">((B81)+(B82))+(B83)</f>
        <v>0</v>
      </c>
      <c r="C84" s="8">
        <f t="shared" si="38"/>
        <v>0</v>
      </c>
      <c r="D84" s="8">
        <f t="shared" si="38"/>
        <v>0</v>
      </c>
      <c r="E84" s="8">
        <f t="shared" si="38"/>
        <v>0</v>
      </c>
      <c r="F84" s="8">
        <f t="shared" si="38"/>
        <v>0</v>
      </c>
      <c r="G84" s="8">
        <f t="shared" si="38"/>
        <v>0</v>
      </c>
      <c r="H84" s="8">
        <f t="shared" si="38"/>
        <v>0</v>
      </c>
      <c r="I84" s="8">
        <f t="shared" si="38"/>
        <v>0</v>
      </c>
      <c r="J84" s="8">
        <f t="shared" si="38"/>
        <v>0</v>
      </c>
      <c r="K84" s="8">
        <f t="shared" si="38"/>
        <v>0</v>
      </c>
      <c r="L84" s="8">
        <f t="shared" si="38"/>
        <v>0</v>
      </c>
      <c r="M84" s="8">
        <f t="shared" si="38"/>
        <v>0</v>
      </c>
    </row>
    <row r="85" spans="1:13" x14ac:dyDescent="0.3">
      <c r="A85" s="5" t="s">
        <v>274</v>
      </c>
      <c r="B85" s="6"/>
      <c r="C85" s="7">
        <f t="shared" ref="C85:M86" si="39">B85</f>
        <v>0</v>
      </c>
      <c r="D85" s="7">
        <f t="shared" si="39"/>
        <v>0</v>
      </c>
      <c r="E85" s="7">
        <f t="shared" si="39"/>
        <v>0</v>
      </c>
      <c r="F85" s="7">
        <f t="shared" si="39"/>
        <v>0</v>
      </c>
      <c r="G85" s="7">
        <f t="shared" si="39"/>
        <v>0</v>
      </c>
      <c r="H85" s="7">
        <f t="shared" si="39"/>
        <v>0</v>
      </c>
      <c r="I85" s="7">
        <f t="shared" si="39"/>
        <v>0</v>
      </c>
      <c r="J85" s="7">
        <f t="shared" si="39"/>
        <v>0</v>
      </c>
      <c r="K85" s="7">
        <f t="shared" si="39"/>
        <v>0</v>
      </c>
      <c r="L85" s="7">
        <f t="shared" si="39"/>
        <v>0</v>
      </c>
      <c r="M85" s="7">
        <f t="shared" si="39"/>
        <v>0</v>
      </c>
    </row>
    <row r="86" spans="1:13" x14ac:dyDescent="0.3">
      <c r="A86" s="5" t="s">
        <v>273</v>
      </c>
      <c r="B86" s="7">
        <f>0</f>
        <v>0</v>
      </c>
      <c r="C86" s="7">
        <f t="shared" si="39"/>
        <v>0</v>
      </c>
      <c r="D86" s="7">
        <f t="shared" si="39"/>
        <v>0</v>
      </c>
      <c r="E86" s="7">
        <f t="shared" si="39"/>
        <v>0</v>
      </c>
      <c r="F86" s="7">
        <f t="shared" si="39"/>
        <v>0</v>
      </c>
      <c r="G86" s="7">
        <f t="shared" si="39"/>
        <v>0</v>
      </c>
      <c r="H86" s="7">
        <f t="shared" si="39"/>
        <v>0</v>
      </c>
      <c r="I86" s="7">
        <f t="shared" si="39"/>
        <v>0</v>
      </c>
      <c r="J86" s="7">
        <f t="shared" si="39"/>
        <v>0</v>
      </c>
      <c r="K86" s="7">
        <f t="shared" si="39"/>
        <v>0</v>
      </c>
      <c r="L86" s="7">
        <f t="shared" si="39"/>
        <v>0</v>
      </c>
      <c r="M86" s="7">
        <f t="shared" si="39"/>
        <v>0</v>
      </c>
    </row>
    <row r="87" spans="1:13" x14ac:dyDescent="0.3">
      <c r="A87" s="5" t="s">
        <v>272</v>
      </c>
      <c r="B87" s="8">
        <f t="shared" ref="B87:M87" si="40">(B85)+(B86)</f>
        <v>0</v>
      </c>
      <c r="C87" s="8">
        <f t="shared" si="40"/>
        <v>0</v>
      </c>
      <c r="D87" s="8">
        <f t="shared" si="40"/>
        <v>0</v>
      </c>
      <c r="E87" s="8">
        <f t="shared" si="40"/>
        <v>0</v>
      </c>
      <c r="F87" s="8">
        <f t="shared" si="40"/>
        <v>0</v>
      </c>
      <c r="G87" s="8">
        <f t="shared" si="40"/>
        <v>0</v>
      </c>
      <c r="H87" s="8">
        <f t="shared" si="40"/>
        <v>0</v>
      </c>
      <c r="I87" s="8">
        <f t="shared" si="40"/>
        <v>0</v>
      </c>
      <c r="J87" s="8">
        <f t="shared" si="40"/>
        <v>0</v>
      </c>
      <c r="K87" s="8">
        <f t="shared" si="40"/>
        <v>0</v>
      </c>
      <c r="L87" s="8">
        <f t="shared" si="40"/>
        <v>0</v>
      </c>
      <c r="M87" s="8">
        <f t="shared" si="40"/>
        <v>0</v>
      </c>
    </row>
    <row r="88" spans="1:13" x14ac:dyDescent="0.3">
      <c r="A88" s="5" t="s">
        <v>271</v>
      </c>
      <c r="B88" s="8">
        <f t="shared" ref="B88:M88" si="41">((B80)+(B84))+(B87)</f>
        <v>0</v>
      </c>
      <c r="C88" s="8">
        <f t="shared" si="41"/>
        <v>0</v>
      </c>
      <c r="D88" s="8">
        <f t="shared" si="41"/>
        <v>0</v>
      </c>
      <c r="E88" s="8">
        <f t="shared" si="41"/>
        <v>0</v>
      </c>
      <c r="F88" s="8">
        <f t="shared" si="41"/>
        <v>0</v>
      </c>
      <c r="G88" s="8">
        <f t="shared" si="41"/>
        <v>0</v>
      </c>
      <c r="H88" s="8">
        <f t="shared" si="41"/>
        <v>0</v>
      </c>
      <c r="I88" s="8">
        <f t="shared" si="41"/>
        <v>0</v>
      </c>
      <c r="J88" s="8">
        <f t="shared" si="41"/>
        <v>0</v>
      </c>
      <c r="K88" s="8">
        <f t="shared" si="41"/>
        <v>0</v>
      </c>
      <c r="L88" s="8">
        <f t="shared" si="41"/>
        <v>0</v>
      </c>
      <c r="M88" s="8">
        <f t="shared" si="41"/>
        <v>0</v>
      </c>
    </row>
    <row r="89" spans="1:13" x14ac:dyDescent="0.3">
      <c r="A89" s="5" t="s">
        <v>270</v>
      </c>
      <c r="B89" s="7">
        <f>-159131.74</f>
        <v>-159131.74</v>
      </c>
      <c r="C89" s="7">
        <f t="shared" ref="C89:M93" si="42">B89</f>
        <v>-159131.74</v>
      </c>
      <c r="D89" s="7">
        <f t="shared" si="42"/>
        <v>-159131.74</v>
      </c>
      <c r="E89" s="7">
        <f t="shared" si="42"/>
        <v>-159131.74</v>
      </c>
      <c r="F89" s="7">
        <f t="shared" si="42"/>
        <v>-159131.74</v>
      </c>
      <c r="G89" s="7">
        <f t="shared" si="42"/>
        <v>-159131.74</v>
      </c>
      <c r="H89" s="7">
        <f t="shared" si="42"/>
        <v>-159131.74</v>
      </c>
      <c r="I89" s="7">
        <f t="shared" si="42"/>
        <v>-159131.74</v>
      </c>
      <c r="J89" s="7">
        <f t="shared" si="42"/>
        <v>-159131.74</v>
      </c>
      <c r="K89" s="7">
        <f t="shared" si="42"/>
        <v>-159131.74</v>
      </c>
      <c r="L89" s="7">
        <f t="shared" si="42"/>
        <v>-159131.74</v>
      </c>
      <c r="M89" s="7">
        <f t="shared" si="42"/>
        <v>-159131.74</v>
      </c>
    </row>
    <row r="90" spans="1:13" x14ac:dyDescent="0.3">
      <c r="A90" s="5" t="s">
        <v>269</v>
      </c>
      <c r="B90" s="7">
        <f>56315.07</f>
        <v>56315.07</v>
      </c>
      <c r="C90" s="7">
        <f t="shared" si="42"/>
        <v>56315.07</v>
      </c>
      <c r="D90" s="7">
        <f t="shared" si="42"/>
        <v>56315.07</v>
      </c>
      <c r="E90" s="7">
        <f t="shared" si="42"/>
        <v>56315.07</v>
      </c>
      <c r="F90" s="7">
        <f t="shared" si="42"/>
        <v>56315.07</v>
      </c>
      <c r="G90" s="7">
        <f t="shared" si="42"/>
        <v>56315.07</v>
      </c>
      <c r="H90" s="7">
        <f t="shared" si="42"/>
        <v>56315.07</v>
      </c>
      <c r="I90" s="7">
        <f t="shared" si="42"/>
        <v>56315.07</v>
      </c>
      <c r="J90" s="7">
        <f t="shared" si="42"/>
        <v>56315.07</v>
      </c>
      <c r="K90" s="7">
        <f t="shared" si="42"/>
        <v>56315.07</v>
      </c>
      <c r="L90" s="7">
        <f t="shared" si="42"/>
        <v>56315.07</v>
      </c>
      <c r="M90" s="7">
        <f t="shared" si="42"/>
        <v>56315.07</v>
      </c>
    </row>
    <row r="91" spans="1:13" x14ac:dyDescent="0.3">
      <c r="A91" s="5" t="s">
        <v>268</v>
      </c>
      <c r="B91" s="7">
        <f>73649.32</f>
        <v>73649.320000000007</v>
      </c>
      <c r="C91" s="7">
        <f t="shared" si="42"/>
        <v>73649.320000000007</v>
      </c>
      <c r="D91" s="7">
        <f t="shared" si="42"/>
        <v>73649.320000000007</v>
      </c>
      <c r="E91" s="7">
        <f t="shared" si="42"/>
        <v>73649.320000000007</v>
      </c>
      <c r="F91" s="7">
        <f t="shared" si="42"/>
        <v>73649.320000000007</v>
      </c>
      <c r="G91" s="7">
        <f t="shared" si="42"/>
        <v>73649.320000000007</v>
      </c>
      <c r="H91" s="7">
        <f t="shared" si="42"/>
        <v>73649.320000000007</v>
      </c>
      <c r="I91" s="7">
        <f t="shared" si="42"/>
        <v>73649.320000000007</v>
      </c>
      <c r="J91" s="7">
        <f t="shared" si="42"/>
        <v>73649.320000000007</v>
      </c>
      <c r="K91" s="7">
        <f t="shared" si="42"/>
        <v>73649.320000000007</v>
      </c>
      <c r="L91" s="7">
        <f t="shared" si="42"/>
        <v>73649.320000000007</v>
      </c>
      <c r="M91" s="7">
        <f t="shared" si="42"/>
        <v>73649.320000000007</v>
      </c>
    </row>
    <row r="92" spans="1:13" x14ac:dyDescent="0.3">
      <c r="A92" s="5" t="s">
        <v>267</v>
      </c>
      <c r="B92" s="6"/>
      <c r="C92" s="7">
        <f t="shared" si="42"/>
        <v>0</v>
      </c>
      <c r="D92" s="7">
        <f t="shared" si="42"/>
        <v>0</v>
      </c>
      <c r="E92" s="7">
        <f t="shared" si="42"/>
        <v>0</v>
      </c>
      <c r="F92" s="7">
        <f t="shared" si="42"/>
        <v>0</v>
      </c>
      <c r="G92" s="7">
        <f>165139.95</f>
        <v>165139.95000000001</v>
      </c>
      <c r="H92" s="7">
        <f t="shared" si="42"/>
        <v>165139.95000000001</v>
      </c>
      <c r="I92" s="7">
        <f t="shared" si="42"/>
        <v>165139.95000000001</v>
      </c>
      <c r="J92" s="7">
        <f t="shared" si="42"/>
        <v>165139.95000000001</v>
      </c>
      <c r="K92" s="7">
        <f t="shared" si="42"/>
        <v>165139.95000000001</v>
      </c>
      <c r="L92" s="7">
        <f t="shared" si="42"/>
        <v>165139.95000000001</v>
      </c>
      <c r="M92" s="7">
        <f t="shared" si="42"/>
        <v>165139.95000000001</v>
      </c>
    </row>
    <row r="93" spans="1:13" x14ac:dyDescent="0.3">
      <c r="A93" s="5" t="s">
        <v>266</v>
      </c>
      <c r="B93" s="6"/>
      <c r="C93" s="7">
        <f t="shared" si="42"/>
        <v>0</v>
      </c>
      <c r="D93" s="7">
        <f t="shared" si="42"/>
        <v>0</v>
      </c>
      <c r="E93" s="7">
        <f t="shared" si="42"/>
        <v>0</v>
      </c>
      <c r="F93" s="7">
        <f t="shared" si="42"/>
        <v>0</v>
      </c>
      <c r="G93" s="7">
        <f>250000</f>
        <v>250000</v>
      </c>
      <c r="H93" s="7">
        <f>362000</f>
        <v>362000</v>
      </c>
      <c r="I93" s="7">
        <f>493500</f>
        <v>493500</v>
      </c>
      <c r="J93" s="7">
        <f>613500</f>
        <v>613500</v>
      </c>
      <c r="K93" s="7">
        <f>698500</f>
        <v>698500</v>
      </c>
      <c r="L93" s="7">
        <f>704398.66</f>
        <v>704398.66</v>
      </c>
      <c r="M93" s="7">
        <f>746515.05</f>
        <v>746515.05</v>
      </c>
    </row>
    <row r="94" spans="1:13" x14ac:dyDescent="0.3">
      <c r="A94" s="5" t="s">
        <v>265</v>
      </c>
      <c r="B94" s="7">
        <f>-47833.05</f>
        <v>-47833.05</v>
      </c>
      <c r="C94" s="7">
        <f>-76107.87</f>
        <v>-76107.87</v>
      </c>
      <c r="D94" s="7">
        <f>-79718.75</f>
        <v>-79718.75</v>
      </c>
      <c r="E94" s="7">
        <f>-112821.59</f>
        <v>-112821.59</v>
      </c>
      <c r="F94" s="7">
        <f>-108645.21</f>
        <v>-108645.21</v>
      </c>
      <c r="G94" s="7">
        <f>-91539.81</f>
        <v>-91539.81</v>
      </c>
      <c r="H94" s="7">
        <f>-107711.29</f>
        <v>-107711.29</v>
      </c>
      <c r="I94" s="7">
        <f>-102982.69</f>
        <v>-102982.69</v>
      </c>
      <c r="J94" s="7">
        <f>-125362.31</f>
        <v>-125362.31</v>
      </c>
      <c r="K94" s="7">
        <f>-189805.8</f>
        <v>-189805.8</v>
      </c>
      <c r="L94" s="7">
        <f>-185140.5</f>
        <v>-185140.5</v>
      </c>
      <c r="M94" s="7">
        <f>-221913.75</f>
        <v>-221913.75</v>
      </c>
    </row>
    <row r="95" spans="1:13" x14ac:dyDescent="0.3">
      <c r="A95" s="5" t="s">
        <v>264</v>
      </c>
      <c r="B95" s="8">
        <f t="shared" ref="B95:M95" si="43">(((((((B79)+(B88))+(B89))+(B90))+(B91))+(B92))+(B93))+(B94)</f>
        <v>-72000.39999999998</v>
      </c>
      <c r="C95" s="8">
        <f t="shared" si="43"/>
        <v>-100275.21999999997</v>
      </c>
      <c r="D95" s="8">
        <f t="shared" si="43"/>
        <v>-103886.09999999998</v>
      </c>
      <c r="E95" s="8">
        <f t="shared" si="43"/>
        <v>-136988.93999999997</v>
      </c>
      <c r="F95" s="8">
        <f t="shared" si="43"/>
        <v>-132812.56</v>
      </c>
      <c r="G95" s="8">
        <f t="shared" si="43"/>
        <v>299432.79000000004</v>
      </c>
      <c r="H95" s="8">
        <f t="shared" si="43"/>
        <v>395261.31000000006</v>
      </c>
      <c r="I95" s="8">
        <f t="shared" si="43"/>
        <v>531489.91000000015</v>
      </c>
      <c r="J95" s="8">
        <f t="shared" si="43"/>
        <v>629110.29</v>
      </c>
      <c r="K95" s="8">
        <f t="shared" si="43"/>
        <v>649666.80000000005</v>
      </c>
      <c r="L95" s="8">
        <f t="shared" si="43"/>
        <v>660230.76</v>
      </c>
      <c r="M95" s="8">
        <f t="shared" si="43"/>
        <v>665573.90000000014</v>
      </c>
    </row>
    <row r="96" spans="1:13" x14ac:dyDescent="0.3">
      <c r="A96" s="5" t="s">
        <v>263</v>
      </c>
      <c r="B96" s="8">
        <f t="shared" ref="B96:M96" si="44">(B77)+(B95)</f>
        <v>324300.67000000004</v>
      </c>
      <c r="C96" s="8">
        <f t="shared" si="44"/>
        <v>296290.79000000004</v>
      </c>
      <c r="D96" s="8">
        <f t="shared" si="44"/>
        <v>341577.03000000009</v>
      </c>
      <c r="E96" s="8">
        <f t="shared" si="44"/>
        <v>320504.90000000002</v>
      </c>
      <c r="F96" s="8">
        <f t="shared" si="44"/>
        <v>330629.52</v>
      </c>
      <c r="G96" s="8">
        <f t="shared" si="44"/>
        <v>557091.82000000007</v>
      </c>
      <c r="H96" s="8">
        <f t="shared" si="44"/>
        <v>702607.21000000008</v>
      </c>
      <c r="I96" s="8">
        <f t="shared" si="44"/>
        <v>812459.58000000007</v>
      </c>
      <c r="J96" s="8">
        <f t="shared" si="44"/>
        <v>906377.79</v>
      </c>
      <c r="K96" s="8">
        <f t="shared" si="44"/>
        <v>922528.94000000006</v>
      </c>
      <c r="L96" s="8">
        <f t="shared" si="44"/>
        <v>938895.41</v>
      </c>
      <c r="M96" s="8">
        <f t="shared" si="44"/>
        <v>981970.3600000001</v>
      </c>
    </row>
    <row r="97" spans="1:13" x14ac:dyDescent="0.3">
      <c r="A97" s="5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</row>
    <row r="100" spans="1:13" x14ac:dyDescent="0.3">
      <c r="A100" s="12" t="s">
        <v>363</v>
      </c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5" tint="0.79998168889431442"/>
  </sheetPr>
  <dimension ref="A1:K42"/>
  <sheetViews>
    <sheetView zoomScaleNormal="100" workbookViewId="0"/>
  </sheetViews>
  <sheetFormatPr defaultColWidth="9" defaultRowHeight="13.8" x14ac:dyDescent="0.25"/>
  <cols>
    <col min="1" max="1" width="4" style="284" customWidth="1"/>
    <col min="2" max="2" width="26" style="284" customWidth="1"/>
    <col min="3" max="3" width="11.88671875" style="285" bestFit="1" customWidth="1"/>
    <col min="4" max="5" width="13.5546875" style="285" bestFit="1" customWidth="1"/>
    <col min="6" max="9" width="14.6640625" style="285" bestFit="1" customWidth="1"/>
    <col min="10" max="10" width="9" style="284"/>
    <col min="11" max="11" width="12.109375" style="284" bestFit="1" customWidth="1"/>
    <col min="12" max="16384" width="9" style="284"/>
  </cols>
  <sheetData>
    <row r="1" spans="1:11" x14ac:dyDescent="0.25">
      <c r="A1" s="272"/>
      <c r="B1" s="273"/>
      <c r="C1" s="274"/>
      <c r="D1" s="274"/>
      <c r="E1" s="274"/>
      <c r="F1" s="274"/>
      <c r="G1" s="274"/>
      <c r="H1" s="274"/>
      <c r="I1" s="274"/>
      <c r="J1" s="275"/>
    </row>
    <row r="2" spans="1:11" x14ac:dyDescent="0.25">
      <c r="A2" s="276"/>
      <c r="B2" s="129"/>
      <c r="C2" s="277"/>
      <c r="D2" s="277"/>
      <c r="E2" s="277"/>
      <c r="F2" s="277"/>
      <c r="G2" s="277"/>
      <c r="H2" s="277"/>
      <c r="I2" s="277"/>
      <c r="J2" s="278"/>
    </row>
    <row r="3" spans="1:11" x14ac:dyDescent="0.25">
      <c r="A3" s="276"/>
      <c r="B3" s="286" t="s">
        <v>464</v>
      </c>
      <c r="C3" s="217"/>
      <c r="D3" s="217"/>
      <c r="E3" s="217"/>
      <c r="F3" s="216"/>
      <c r="G3" s="216"/>
      <c r="H3" s="267" t="s">
        <v>0</v>
      </c>
      <c r="I3" s="268">
        <v>44038</v>
      </c>
      <c r="J3" s="278"/>
    </row>
    <row r="4" spans="1:11" ht="14.4" thickBot="1" x14ac:dyDescent="0.3">
      <c r="A4" s="276"/>
      <c r="B4" s="129"/>
      <c r="C4" s="277"/>
      <c r="D4" s="277"/>
      <c r="E4" s="277"/>
      <c r="F4" s="279"/>
      <c r="G4" s="279"/>
      <c r="H4" s="277"/>
      <c r="I4" s="277"/>
      <c r="J4" s="278"/>
    </row>
    <row r="5" spans="1:11" x14ac:dyDescent="0.25">
      <c r="A5" s="276"/>
      <c r="B5" s="219"/>
      <c r="C5" s="360" t="s">
        <v>224</v>
      </c>
      <c r="D5" s="361"/>
      <c r="E5" s="361"/>
      <c r="F5" s="361"/>
      <c r="G5" s="361"/>
      <c r="H5" s="362" t="s">
        <v>539</v>
      </c>
      <c r="I5" s="363"/>
      <c r="J5" s="278"/>
    </row>
    <row r="6" spans="1:11" x14ac:dyDescent="0.25">
      <c r="A6" s="276"/>
      <c r="B6" s="228"/>
      <c r="C6" s="218">
        <v>2015</v>
      </c>
      <c r="D6" s="218">
        <v>2016</v>
      </c>
      <c r="E6" s="218">
        <v>2017</v>
      </c>
      <c r="F6" s="218">
        <v>2018</v>
      </c>
      <c r="G6" s="218">
        <v>2019</v>
      </c>
      <c r="H6" s="234">
        <v>2020</v>
      </c>
      <c r="I6" s="235">
        <v>2021</v>
      </c>
      <c r="J6" s="278"/>
    </row>
    <row r="7" spans="1:11" x14ac:dyDescent="0.25">
      <c r="A7" s="276"/>
      <c r="B7" s="220" t="s">
        <v>17</v>
      </c>
      <c r="C7" s="290" t="b">
        <f>C10='I2015'!N8</f>
        <v>1</v>
      </c>
      <c r="D7" s="290" t="b">
        <f>D10='I2016'!N9</f>
        <v>1</v>
      </c>
      <c r="E7" s="290" t="b">
        <f>E10='I2017'!N9</f>
        <v>1</v>
      </c>
      <c r="F7" s="290" t="b">
        <f>F10='I2018'!N9</f>
        <v>1</v>
      </c>
      <c r="G7" s="290" t="b">
        <f>G10='I2019'!N9</f>
        <v>1</v>
      </c>
      <c r="H7" s="291" t="b">
        <f>H10=SUM(Analysis!BL31:BW31)</f>
        <v>1</v>
      </c>
      <c r="I7" s="292" t="b">
        <f>I10=SUM(Analysis!BX31:CI31)</f>
        <v>1</v>
      </c>
      <c r="J7" s="278"/>
    </row>
    <row r="8" spans="1:11" x14ac:dyDescent="0.25">
      <c r="A8" s="276"/>
      <c r="B8" s="221" t="s">
        <v>18</v>
      </c>
      <c r="C8" s="206">
        <f>SUMIFS('P&amp;L'!$B7:$CG7,'P&amp;L'!$B$3:$CG$3,C$6)</f>
        <v>415967.55</v>
      </c>
      <c r="D8" s="206">
        <f>SUMIFS('P&amp;L'!$B7:$CG7,'P&amp;L'!$B$3:$CG$3,D$6)</f>
        <v>1544723.3299999996</v>
      </c>
      <c r="E8" s="206">
        <f>SUMIFS('P&amp;L'!$B7:$CG7,'P&amp;L'!$B$3:$CG$3,E$6)</f>
        <v>3599704.45</v>
      </c>
      <c r="F8" s="206">
        <f>SUMIFS('P&amp;L'!$B7:$CG7,'P&amp;L'!$B$3:$CG$3,F$6)</f>
        <v>15331910.709999999</v>
      </c>
      <c r="G8" s="206">
        <f>SUMIFS('P&amp;L'!$B7:$CG7,'P&amp;L'!$B$3:$CG$3,G$6)</f>
        <v>28432512</v>
      </c>
      <c r="H8" s="236">
        <f>SUMIFS('P&amp;L'!$B7:$CG7,'P&amp;L'!$B$3:$CG$3,H$6)</f>
        <v>37300800.972044967</v>
      </c>
      <c r="I8" s="237">
        <f>SUMIFS('P&amp;L'!$B7:$CG7,'P&amp;L'!$B$3:$CG$3,I$6)</f>
        <v>52814944.537418373</v>
      </c>
      <c r="J8" s="278"/>
      <c r="K8" s="422"/>
    </row>
    <row r="9" spans="1:11" x14ac:dyDescent="0.25">
      <c r="A9" s="276"/>
      <c r="B9" s="226" t="s">
        <v>19</v>
      </c>
      <c r="C9" s="20">
        <f>SUMIFS('P&amp;L'!$B8:$CG8,'P&amp;L'!$B$3:$CG$3,C$6)</f>
        <v>0</v>
      </c>
      <c r="D9" s="20">
        <f>SUMIFS('P&amp;L'!$B8:$CG8,'P&amp;L'!$B$3:$CG$3,D$6)</f>
        <v>-136605.57</v>
      </c>
      <c r="E9" s="20">
        <f>SUMIFS('P&amp;L'!$B8:$CG8,'P&amp;L'!$B$3:$CG$3,E$6)</f>
        <v>-269813.01</v>
      </c>
      <c r="F9" s="20">
        <f>SUMIFS('P&amp;L'!$B8:$CG8,'P&amp;L'!$B$3:$CG$3,F$6)</f>
        <v>-1459777.06</v>
      </c>
      <c r="G9" s="20">
        <f>SUMIFS('P&amp;L'!$B8:$CG8,'P&amp;L'!$B$3:$CG$3,G$6)</f>
        <v>-3455549.88</v>
      </c>
      <c r="H9" s="238">
        <f>SUMIFS('P&amp;L'!$B8:$CG8,'P&amp;L'!$B$3:$CG$3,H$6)</f>
        <v>-4396371.9335058024</v>
      </c>
      <c r="I9" s="239">
        <f>SUMIFS('P&amp;L'!$B8:$CG8,'P&amp;L'!$B$3:$CG$3,I$6)</f>
        <v>-6307174.8291434832</v>
      </c>
      <c r="J9" s="278"/>
    </row>
    <row r="10" spans="1:11" x14ac:dyDescent="0.25">
      <c r="A10" s="276"/>
      <c r="B10" s="222" t="s">
        <v>20</v>
      </c>
      <c r="C10" s="123">
        <f>SUMIFS('P&amp;L'!$B9:$CG9,'P&amp;L'!$B$3:$CG$3,C$6)</f>
        <v>415967.55</v>
      </c>
      <c r="D10" s="123">
        <f>SUMIFS('P&amp;L'!$B9:$CG9,'P&amp;L'!$B$3:$CG$3,D$6)</f>
        <v>1408117.7599999998</v>
      </c>
      <c r="E10" s="123">
        <f>SUMIFS('P&amp;L'!$B9:$CG9,'P&amp;L'!$B$3:$CG$3,E$6)</f>
        <v>3329891.44</v>
      </c>
      <c r="F10" s="123">
        <f>SUMIFS('P&amp;L'!$B9:$CG9,'P&amp;L'!$B$3:$CG$3,F$6)</f>
        <v>13872133.65</v>
      </c>
      <c r="G10" s="123">
        <f>SUMIFS('P&amp;L'!$B9:$CG9,'P&amp;L'!$B$3:$CG$3,G$6)</f>
        <v>24976962.120000001</v>
      </c>
      <c r="H10" s="240">
        <f>SUMIFS('P&amp;L'!$B9:$CG9,'P&amp;L'!$B$3:$CG$3,H$6)</f>
        <v>32904429.038539167</v>
      </c>
      <c r="I10" s="241">
        <f>SUMIFS('P&amp;L'!$B9:$CG9,'P&amp;L'!$B$3:$CG$3,I$6)</f>
        <v>46507769.708274886</v>
      </c>
      <c r="J10" s="278"/>
    </row>
    <row r="11" spans="1:11" x14ac:dyDescent="0.25">
      <c r="A11" s="276"/>
      <c r="B11" s="262" t="s">
        <v>465</v>
      </c>
      <c r="C11" s="208"/>
      <c r="D11" s="208">
        <f>(D10-C10)/C10</f>
        <v>2.385162520489879</v>
      </c>
      <c r="E11" s="208">
        <f t="shared" ref="E11:I11" si="0">(E10-D10)/D10</f>
        <v>1.3647819341473262</v>
      </c>
      <c r="F11" s="208">
        <f t="shared" si="0"/>
        <v>3.1659417131028156</v>
      </c>
      <c r="G11" s="208">
        <f t="shared" si="0"/>
        <v>0.80051337091897179</v>
      </c>
      <c r="H11" s="246">
        <f t="shared" si="0"/>
        <v>0.31739115751756469</v>
      </c>
      <c r="I11" s="247">
        <f t="shared" si="0"/>
        <v>0.41341974522040381</v>
      </c>
      <c r="J11" s="278"/>
    </row>
    <row r="12" spans="1:11" x14ac:dyDescent="0.25">
      <c r="A12" s="276"/>
      <c r="B12" s="229" t="s">
        <v>21</v>
      </c>
      <c r="C12" s="296" t="b">
        <f>C13='I2015'!N14</f>
        <v>1</v>
      </c>
      <c r="D12" s="296" t="b">
        <f>D13='I2016'!N17</f>
        <v>1</v>
      </c>
      <c r="E12" s="296" t="b">
        <f>E13='I2017'!N23</f>
        <v>1</v>
      </c>
      <c r="F12" s="296" t="b">
        <f>F13='I2018'!N24</f>
        <v>1</v>
      </c>
      <c r="G12" s="296" t="b">
        <f>G13='I2019'!N22</f>
        <v>1</v>
      </c>
      <c r="H12" s="297" t="b">
        <f>H13=SUM(Analysis!BL46:BW46)</f>
        <v>1</v>
      </c>
      <c r="I12" s="298" t="b">
        <f>I13=SUM(Analysis!BX46:CI46)</f>
        <v>1</v>
      </c>
      <c r="J12" s="278"/>
    </row>
    <row r="13" spans="1:11" x14ac:dyDescent="0.25">
      <c r="A13" s="276"/>
      <c r="B13" s="230" t="s">
        <v>35</v>
      </c>
      <c r="C13" s="23">
        <f>SUMIFS('P&amp;L'!$B11:$CG11,'P&amp;L'!$B$3:$CG$3,C$6)</f>
        <v>75569.430000000008</v>
      </c>
      <c r="D13" s="23">
        <f>SUMIFS('P&amp;L'!$B11:$CG11,'P&amp;L'!$B$3:$CG$3,D$6)</f>
        <v>280297.78000000003</v>
      </c>
      <c r="E13" s="23">
        <f>SUMIFS('P&amp;L'!$B11:$CG11,'P&amp;L'!$B$3:$CG$3,E$6)</f>
        <v>1788836.4200000002</v>
      </c>
      <c r="F13" s="23">
        <f>SUMIFS('P&amp;L'!$B11:$CG11,'P&amp;L'!$B$3:$CG$3,F$6)</f>
        <v>8161539.9000000004</v>
      </c>
      <c r="G13" s="23">
        <f>SUMIFS('P&amp;L'!$B11:$CG11,'P&amp;L'!$B$3:$CG$3,G$6)</f>
        <v>15413468.809999999</v>
      </c>
      <c r="H13" s="242">
        <f>SUMIFS('P&amp;L'!$B11:$CG11,'P&amp;L'!$B$3:$CG$3,H$6)</f>
        <v>18015711.603152715</v>
      </c>
      <c r="I13" s="243">
        <f>SUMIFS('P&amp;L'!$B11:$CG11,'P&amp;L'!$B$3:$CG$3,I$6)</f>
        <v>26974506.430799447</v>
      </c>
      <c r="J13" s="278"/>
    </row>
    <row r="14" spans="1:11" x14ac:dyDescent="0.25">
      <c r="A14" s="276"/>
      <c r="B14" s="223" t="s">
        <v>256</v>
      </c>
      <c r="C14" s="296" t="b">
        <f>C15='I2015'!N15</f>
        <v>1</v>
      </c>
      <c r="D14" s="296" t="b">
        <f>D15='I2016'!N18</f>
        <v>1</v>
      </c>
      <c r="E14" s="296" t="b">
        <f>E15='I2017'!N24</f>
        <v>1</v>
      </c>
      <c r="F14" s="296" t="b">
        <f>F15='I2018'!N25</f>
        <v>1</v>
      </c>
      <c r="G14" s="296" t="b">
        <f>G15='I2019'!N23</f>
        <v>1</v>
      </c>
      <c r="H14" s="297" t="b">
        <f>H15=SUM(Analysis!BL48:BW48)</f>
        <v>1</v>
      </c>
      <c r="I14" s="298" t="b">
        <f>I15=SUM(Analysis!BX48:CI48)</f>
        <v>1</v>
      </c>
      <c r="J14" s="278"/>
    </row>
    <row r="15" spans="1:11" x14ac:dyDescent="0.25">
      <c r="A15" s="276"/>
      <c r="B15" s="224" t="s">
        <v>36</v>
      </c>
      <c r="C15" s="78">
        <f>SUMIFS('P&amp;L'!$B13:$CG13,'P&amp;L'!$B$3:$CG$3,C$6)</f>
        <v>340398.12</v>
      </c>
      <c r="D15" s="78">
        <f>SUMIFS('P&amp;L'!$B13:$CG13,'P&amp;L'!$B$3:$CG$3,D$6)</f>
        <v>1127819.98</v>
      </c>
      <c r="E15" s="78">
        <f>SUMIFS('P&amp;L'!$B13:$CG13,'P&amp;L'!$B$3:$CG$3,E$6)</f>
        <v>1541055.0199999998</v>
      </c>
      <c r="F15" s="78">
        <f>SUMIFS('P&amp;L'!$B13:$CG13,'P&amp;L'!$B$3:$CG$3,F$6)</f>
        <v>5710593.75</v>
      </c>
      <c r="G15" s="78">
        <f>SUMIFS('P&amp;L'!$B13:$CG13,'P&amp;L'!$B$3:$CG$3,G$6)</f>
        <v>9563493.3099999987</v>
      </c>
      <c r="H15" s="244">
        <f>SUMIFS('P&amp;L'!$B13:$CG13,'P&amp;L'!$B$3:$CG$3,H$6)</f>
        <v>14888717.435386449</v>
      </c>
      <c r="I15" s="245">
        <f>SUMIFS('P&amp;L'!$B13:$CG13,'P&amp;L'!$B$3:$CG$3,I$6)</f>
        <v>19533263.277475458</v>
      </c>
      <c r="J15" s="278"/>
    </row>
    <row r="16" spans="1:11" x14ac:dyDescent="0.25">
      <c r="A16" s="276"/>
      <c r="B16" s="262" t="s">
        <v>244</v>
      </c>
      <c r="C16" s="208">
        <f>C15/C10</f>
        <v>0.81832854509925113</v>
      </c>
      <c r="D16" s="208">
        <f t="shared" ref="D16:I16" si="1">D15/D10</f>
        <v>0.80094152068645175</v>
      </c>
      <c r="E16" s="208">
        <f t="shared" si="1"/>
        <v>0.46279437265978851</v>
      </c>
      <c r="F16" s="208">
        <f t="shared" si="1"/>
        <v>0.41165936647388052</v>
      </c>
      <c r="G16" s="208">
        <f t="shared" si="1"/>
        <v>0.38289257372665614</v>
      </c>
      <c r="H16" s="246">
        <f t="shared" si="1"/>
        <v>0.45248368898752517</v>
      </c>
      <c r="I16" s="247">
        <f t="shared" si="1"/>
        <v>0.4200000000000001</v>
      </c>
      <c r="J16" s="278"/>
    </row>
    <row r="17" spans="1:10" x14ac:dyDescent="0.25">
      <c r="A17" s="276"/>
      <c r="B17" s="220" t="s">
        <v>37</v>
      </c>
      <c r="C17" s="293" t="b">
        <f>C22='I2015'!N60</f>
        <v>1</v>
      </c>
      <c r="D17" s="293" t="b">
        <f>D22='I2016'!N74</f>
        <v>1</v>
      </c>
      <c r="E17" s="293" t="b">
        <f>E22='I2017'!N84</f>
        <v>1</v>
      </c>
      <c r="F17" s="293" t="b">
        <f>F22='I2018'!N95</f>
        <v>1</v>
      </c>
      <c r="G17" s="293" t="b">
        <f>G22='I2019'!N99</f>
        <v>1</v>
      </c>
      <c r="H17" s="294" t="b">
        <f>H22=SUM(Analysis!BL151:BW151)</f>
        <v>1</v>
      </c>
      <c r="I17" s="295" t="b">
        <f>I22=SUM(Analysis!BX151:CI151)</f>
        <v>1</v>
      </c>
      <c r="J17" s="278"/>
    </row>
    <row r="18" spans="1:10" x14ac:dyDescent="0.25">
      <c r="A18" s="276"/>
      <c r="B18" s="224" t="s">
        <v>69</v>
      </c>
      <c r="C18" s="206">
        <f>SUMIFS('P&amp;L'!$B16:$CG16,'P&amp;L'!$B$3:$CG$3,C$6)</f>
        <v>45572.09</v>
      </c>
      <c r="D18" s="206">
        <f>SUMIFS('P&amp;L'!$B16:$CG16,'P&amp;L'!$B$3:$CG$3,D$6)</f>
        <v>83816.150000000009</v>
      </c>
      <c r="E18" s="206">
        <f>SUMIFS('P&amp;L'!$B16:$CG16,'P&amp;L'!$B$3:$CG$3,E$6)</f>
        <v>162870.63</v>
      </c>
      <c r="F18" s="206">
        <f>SUMIFS('P&amp;L'!$B16:$CG16,'P&amp;L'!$B$3:$CG$3,F$6)</f>
        <v>521360.95</v>
      </c>
      <c r="G18" s="206">
        <f>SUMIFS('P&amp;L'!$B16:$CG16,'P&amp;L'!$B$3:$CG$3,G$6)</f>
        <v>848576.48</v>
      </c>
      <c r="H18" s="236">
        <f>SUMIFS('P&amp;L'!$B16:$CG16,'P&amp;L'!$B$3:$CG$3,H$6)</f>
        <v>1168391.8768711104</v>
      </c>
      <c r="I18" s="237">
        <f>SUMIFS('P&amp;L'!$B16:$CG16,'P&amp;L'!$B$3:$CG$3,I$6)</f>
        <v>1405924.8572026468</v>
      </c>
      <c r="J18" s="278"/>
    </row>
    <row r="19" spans="1:10" x14ac:dyDescent="0.25">
      <c r="A19" s="276"/>
      <c r="B19" s="224" t="s">
        <v>82</v>
      </c>
      <c r="C19" s="206">
        <f>SUMIFS('P&amp;L'!$B17:$CG17,'P&amp;L'!$B$3:$CG$3,C$6)</f>
        <v>56589.94999999999</v>
      </c>
      <c r="D19" s="206">
        <f>SUMIFS('P&amp;L'!$B17:$CG17,'P&amp;L'!$B$3:$CG$3,D$6)</f>
        <v>280776.82</v>
      </c>
      <c r="E19" s="206">
        <f>SUMIFS('P&amp;L'!$B17:$CG17,'P&amp;L'!$B$3:$CG$3,E$6)</f>
        <v>806225.8</v>
      </c>
      <c r="F19" s="206">
        <f>SUMIFS('P&amp;L'!$B17:$CG17,'P&amp;L'!$B$3:$CG$3,F$6)</f>
        <v>3530290.34</v>
      </c>
      <c r="G19" s="206">
        <f>SUMIFS('P&amp;L'!$B17:$CG17,'P&amp;L'!$B$3:$CG$3,G$6)</f>
        <v>3754058.7500000005</v>
      </c>
      <c r="H19" s="236">
        <f>SUMIFS('P&amp;L'!$B17:$CG17,'P&amp;L'!$B$3:$CG$3,H$6)</f>
        <v>4430872.1080306526</v>
      </c>
      <c r="I19" s="237">
        <f>SUMIFS('P&amp;L'!$B17:$CG17,'P&amp;L'!$B$3:$CG$3,I$6)</f>
        <v>6679669.0727841295</v>
      </c>
      <c r="J19" s="278"/>
    </row>
    <row r="20" spans="1:10" x14ac:dyDescent="0.25">
      <c r="A20" s="276"/>
      <c r="B20" s="224" t="s">
        <v>100</v>
      </c>
      <c r="C20" s="206">
        <f>SUMIFS('P&amp;L'!$B18:$CG18,'P&amp;L'!$B$3:$CG$3,C$6)</f>
        <v>138390.74</v>
      </c>
      <c r="D20" s="206">
        <f>SUMIFS('P&amp;L'!$B18:$CG18,'P&amp;L'!$B$3:$CG$3,D$6)</f>
        <v>356056.60000000003</v>
      </c>
      <c r="E20" s="206">
        <f>SUMIFS('P&amp;L'!$B18:$CG18,'P&amp;L'!$B$3:$CG$3,E$6)</f>
        <v>760465.32</v>
      </c>
      <c r="F20" s="206">
        <f>SUMIFS('P&amp;L'!$B18:$CG18,'P&amp;L'!$B$3:$CG$3,F$6)</f>
        <v>2490678.9700000002</v>
      </c>
      <c r="G20" s="206">
        <f>SUMIFS('P&amp;L'!$B18:$CG18,'P&amp;L'!$B$3:$CG$3,G$6)</f>
        <v>5058856.5199999996</v>
      </c>
      <c r="H20" s="236">
        <f>SUMIFS('P&amp;L'!$B18:$CG18,'P&amp;L'!$B$3:$CG$3,H$6)</f>
        <v>5760497.4745903481</v>
      </c>
      <c r="I20" s="237">
        <f>SUMIFS('P&amp;L'!$B18:$CG18,'P&amp;L'!$B$3:$CG$3,I$6)</f>
        <v>8635261.7257223632</v>
      </c>
      <c r="J20" s="278"/>
    </row>
    <row r="21" spans="1:10" x14ac:dyDescent="0.25">
      <c r="A21" s="276"/>
      <c r="B21" s="226" t="s">
        <v>463</v>
      </c>
      <c r="C21" s="20">
        <f>SUMIFS('P&amp;L'!$B19:$CG19,'P&amp;L'!$B$3:$CG$3,C$6)</f>
        <v>188940.32</v>
      </c>
      <c r="D21" s="20">
        <f>SUMIFS('P&amp;L'!$B19:$CG19,'P&amp;L'!$B$3:$CG$3,D$6)</f>
        <v>416129.35</v>
      </c>
      <c r="E21" s="20">
        <f>SUMIFS('P&amp;L'!$B19:$CG19,'P&amp;L'!$B$3:$CG$3,E$6)</f>
        <v>0</v>
      </c>
      <c r="F21" s="20">
        <f>SUMIFS('P&amp;L'!$B19:$CG19,'P&amp;L'!$B$3:$CG$3,F$6)</f>
        <v>2410.2099999999045</v>
      </c>
      <c r="G21" s="20">
        <f>SUMIFS('P&amp;L'!$B19:$CG19,'P&amp;L'!$B$3:$CG$3,G$6)</f>
        <v>27461.290000000154</v>
      </c>
      <c r="H21" s="238">
        <f>SUMIFS('P&amp;L'!$B19:$CG19,'P&amp;L'!$B$3:$CG$3,H$6)</f>
        <v>143425.33367602772</v>
      </c>
      <c r="I21" s="239">
        <f>SUMIFS('P&amp;L'!$B19:$CG19,'P&amp;L'!$B$3:$CG$3,I$6)</f>
        <v>101031.24957137019</v>
      </c>
      <c r="J21" s="278"/>
    </row>
    <row r="22" spans="1:10" x14ac:dyDescent="0.25">
      <c r="A22" s="276"/>
      <c r="B22" s="230" t="s">
        <v>103</v>
      </c>
      <c r="C22" s="23">
        <f>SUMIFS('P&amp;L'!$B20:$CG20,'P&amp;L'!$B$3:$CG$3,C$6)</f>
        <v>429493.10000000003</v>
      </c>
      <c r="D22" s="23">
        <f>SUMIFS('P&amp;L'!$B20:$CG20,'P&amp;L'!$B$3:$CG$3,D$6)</f>
        <v>1136778.92</v>
      </c>
      <c r="E22" s="23">
        <f>SUMIFS('P&amp;L'!$B20:$CG20,'P&amp;L'!$B$3:$CG$3,E$6)</f>
        <v>1729561.75</v>
      </c>
      <c r="F22" s="23">
        <f>SUMIFS('P&amp;L'!$B20:$CG20,'P&amp;L'!$B$3:$CG$3,F$6)</f>
        <v>6544740.4699999997</v>
      </c>
      <c r="G22" s="23">
        <f>SUMIFS('P&amp;L'!$B20:$CG20,'P&amp;L'!$B$3:$CG$3,G$6)</f>
        <v>9688953.040000001</v>
      </c>
      <c r="H22" s="242">
        <f>SUMIFS('P&amp;L'!$B20:$CG20,'P&amp;L'!$B$3:$CG$3,H$6)</f>
        <v>11503186.793168139</v>
      </c>
      <c r="I22" s="243">
        <f>SUMIFS('P&amp;L'!$B20:$CG20,'P&amp;L'!$B$3:$CG$3,I$6)</f>
        <v>16821886.905280512</v>
      </c>
      <c r="J22" s="278"/>
    </row>
    <row r="23" spans="1:10" x14ac:dyDescent="0.25">
      <c r="A23" s="276"/>
      <c r="B23" s="223" t="s">
        <v>260</v>
      </c>
      <c r="C23" s="299" t="b">
        <f>C24='I2015'!N61</f>
        <v>1</v>
      </c>
      <c r="D23" s="299" t="b">
        <f>D24='I2016'!N75</f>
        <v>1</v>
      </c>
      <c r="E23" s="299" t="b">
        <f>E24='I2017'!N85</f>
        <v>1</v>
      </c>
      <c r="F23" s="299" t="b">
        <f>F24='I2018'!N96</f>
        <v>1</v>
      </c>
      <c r="G23" s="299" t="b">
        <f>G24='I2019'!N100</f>
        <v>1</v>
      </c>
      <c r="H23" s="300" t="b">
        <f>H24=SUM(Analysis!BL153:BW153)</f>
        <v>1</v>
      </c>
      <c r="I23" s="301" t="b">
        <f>I24=SUM(Analysis!BX153:CI153)</f>
        <v>1</v>
      </c>
      <c r="J23" s="278"/>
    </row>
    <row r="24" spans="1:10" x14ac:dyDescent="0.25">
      <c r="A24" s="276"/>
      <c r="B24" s="224" t="s">
        <v>104</v>
      </c>
      <c r="C24" s="78">
        <f>SUMIFS('P&amp;L'!$B22:$CG22,'P&amp;L'!$B$3:$CG$3,C$6)</f>
        <v>-89094.980000000025</v>
      </c>
      <c r="D24" s="78">
        <f>SUMIFS('P&amp;L'!$B22:$CG22,'P&amp;L'!$B$3:$CG$3,D$6)</f>
        <v>-8958.9400000000023</v>
      </c>
      <c r="E24" s="78">
        <f>SUMIFS('P&amp;L'!$B22:$CG22,'P&amp;L'!$B$3:$CG$3,E$6)</f>
        <v>-188506.72999999998</v>
      </c>
      <c r="F24" s="78">
        <f>SUMIFS('P&amp;L'!$B22:$CG22,'P&amp;L'!$B$3:$CG$3,F$6)</f>
        <v>-834146.71999999986</v>
      </c>
      <c r="G24" s="78">
        <f>SUMIFS('P&amp;L'!$B22:$CG22,'P&amp;L'!$B$3:$CG$3,G$6)</f>
        <v>-125459.73000000068</v>
      </c>
      <c r="H24" s="244">
        <f>SUMIFS('P&amp;L'!$B22:$CG22,'P&amp;L'!$B$3:$CG$3,H$6)</f>
        <v>3385530.6422183095</v>
      </c>
      <c r="I24" s="245">
        <f>SUMIFS('P&amp;L'!$B22:$CG22,'P&amp;L'!$B$3:$CG$3,I$6)</f>
        <v>2711376.3721949439</v>
      </c>
      <c r="J24" s="278"/>
    </row>
    <row r="25" spans="1:10" x14ac:dyDescent="0.25">
      <c r="A25" s="276"/>
      <c r="B25" s="262" t="s">
        <v>468</v>
      </c>
      <c r="C25" s="208">
        <f>C24/C10</f>
        <v>-0.2141873326416929</v>
      </c>
      <c r="D25" s="208">
        <f t="shared" ref="D25:I25" si="2">D24/D10</f>
        <v>-6.362351398792104E-3</v>
      </c>
      <c r="E25" s="208">
        <f t="shared" si="2"/>
        <v>-5.6610473163053024E-2</v>
      </c>
      <c r="F25" s="208">
        <f t="shared" si="2"/>
        <v>-6.0131104633640825E-2</v>
      </c>
      <c r="G25" s="208">
        <f t="shared" si="2"/>
        <v>-5.0230179874253128E-3</v>
      </c>
      <c r="H25" s="246">
        <f t="shared" si="2"/>
        <v>0.10288981578294587</v>
      </c>
      <c r="I25" s="247">
        <f t="shared" si="2"/>
        <v>5.8299428013907167E-2</v>
      </c>
      <c r="J25" s="278"/>
    </row>
    <row r="26" spans="1:10" x14ac:dyDescent="0.25">
      <c r="A26" s="276"/>
      <c r="B26" s="223" t="s">
        <v>105</v>
      </c>
      <c r="C26" s="192"/>
      <c r="D26" s="192"/>
      <c r="E26" s="192"/>
      <c r="F26" s="192"/>
      <c r="G26" s="192"/>
      <c r="H26" s="248"/>
      <c r="I26" s="249"/>
      <c r="J26" s="278"/>
    </row>
    <row r="27" spans="1:10" x14ac:dyDescent="0.25">
      <c r="A27" s="276"/>
      <c r="B27" s="224" t="s">
        <v>107</v>
      </c>
      <c r="C27" s="78">
        <f>SUMIFS('P&amp;L'!$B24:$CG24,'P&amp;L'!$B$3:$CG$3,C$6)</f>
        <v>0.03</v>
      </c>
      <c r="D27" s="78">
        <f>SUMIFS('P&amp;L'!$B24:$CG24,'P&amp;L'!$B$3:$CG$3,D$6)</f>
        <v>332.18999999999994</v>
      </c>
      <c r="E27" s="78">
        <f>SUMIFS('P&amp;L'!$B24:$CG24,'P&amp;L'!$B$3:$CG$3,E$6)</f>
        <v>0</v>
      </c>
      <c r="F27" s="78">
        <f>SUMIFS('P&amp;L'!$B24:$CG24,'P&amp;L'!$B$3:$CG$3,F$6)</f>
        <v>150.4</v>
      </c>
      <c r="G27" s="78">
        <f>SUMIFS('P&amp;L'!$B24:$CG24,'P&amp;L'!$B$3:$CG$3,G$6)</f>
        <v>346.87000000000006</v>
      </c>
      <c r="H27" s="244">
        <f>SUMIFS('P&amp;L'!$B24:$CG24,'P&amp;L'!$B$3:$CG$3,H$6)</f>
        <v>234.48389063035836</v>
      </c>
      <c r="I27" s="245">
        <f>SUMIFS('P&amp;L'!$B24:$CG24,'P&amp;L'!$B$3:$CG$3,I$6)</f>
        <v>349.97066164745593</v>
      </c>
      <c r="J27" s="278"/>
    </row>
    <row r="28" spans="1:10" x14ac:dyDescent="0.25">
      <c r="A28" s="276"/>
      <c r="B28" s="229" t="s">
        <v>108</v>
      </c>
      <c r="C28" s="192"/>
      <c r="D28" s="192"/>
      <c r="E28" s="192"/>
      <c r="F28" s="192"/>
      <c r="G28" s="192"/>
      <c r="H28" s="248"/>
      <c r="I28" s="249"/>
      <c r="J28" s="278"/>
    </row>
    <row r="29" spans="1:10" x14ac:dyDescent="0.25">
      <c r="A29" s="276"/>
      <c r="B29" s="221" t="s">
        <v>113</v>
      </c>
      <c r="C29" s="24">
        <f>SUMIFS('P&amp;L'!$B26:$CG26,'P&amp;L'!$B$3:$CG$3,C$6)</f>
        <v>3228.72</v>
      </c>
      <c r="D29" s="24">
        <f>SUMIFS('P&amp;L'!$B26:$CG26,'P&amp;L'!$B$3:$CG$3,D$6)</f>
        <v>19799.030000000002</v>
      </c>
      <c r="E29" s="24">
        <f>SUMIFS('P&amp;L'!$B26:$CG26,'P&amp;L'!$B$3:$CG$3,E$6)</f>
        <v>33407.020000000004</v>
      </c>
      <c r="F29" s="24">
        <f>SUMIFS('P&amp;L'!$B26:$CG26,'P&amp;L'!$B$3:$CG$3,F$6)</f>
        <v>20346.13</v>
      </c>
      <c r="G29" s="24">
        <f>SUMIFS('P&amp;L'!$B26:$CG26,'P&amp;L'!$B$3:$CG$3,G$6)</f>
        <v>11372.45</v>
      </c>
      <c r="H29" s="250">
        <f>SUMIFS('P&amp;L'!$B26:$CG26,'P&amp;L'!$B$3:$CG$3,H$6)</f>
        <v>6057.8491752835916</v>
      </c>
      <c r="I29" s="251">
        <f>SUMIFS('P&amp;L'!$B26:$CG26,'P&amp;L'!$B$3:$CG$3,I$6)</f>
        <v>6121.4224029322222</v>
      </c>
      <c r="J29" s="278"/>
    </row>
    <row r="30" spans="1:10" x14ac:dyDescent="0.25">
      <c r="A30" s="276"/>
      <c r="B30" s="229" t="s">
        <v>261</v>
      </c>
      <c r="C30" s="192" t="b">
        <f>C32='I2015'!N73</f>
        <v>1</v>
      </c>
      <c r="D30" s="192" t="b">
        <f>D32='I2016'!N90</f>
        <v>1</v>
      </c>
      <c r="E30" s="192" t="b">
        <f>E32='I2017'!N96</f>
        <v>1</v>
      </c>
      <c r="F30" s="192" t="b">
        <f>F32='I2018'!N107</f>
        <v>1</v>
      </c>
      <c r="G30" s="192" t="b">
        <f>G32='I2019'!N112</f>
        <v>1</v>
      </c>
      <c r="H30" s="248" t="b">
        <f>H32=SUM(Analysis!BL171:BW171)</f>
        <v>1</v>
      </c>
      <c r="I30" s="249" t="b">
        <f>I32=SUM(Analysis!BX171:CI171)</f>
        <v>1</v>
      </c>
      <c r="J30" s="278"/>
    </row>
    <row r="31" spans="1:10" x14ac:dyDescent="0.25">
      <c r="A31" s="276"/>
      <c r="B31" s="231" t="s">
        <v>114</v>
      </c>
      <c r="C31" s="142">
        <f>SUMIFS('P&amp;L'!$B28:$CG28,'P&amp;L'!$B$3:$CG$3,C$6)</f>
        <v>-3228.69</v>
      </c>
      <c r="D31" s="142">
        <f>SUMIFS('P&amp;L'!$B28:$CG28,'P&amp;L'!$B$3:$CG$3,D$6)</f>
        <v>-19466.840000000004</v>
      </c>
      <c r="E31" s="142">
        <f>SUMIFS('P&amp;L'!$B28:$CG28,'P&amp;L'!$B$3:$CG$3,E$6)</f>
        <v>-33407.020000000004</v>
      </c>
      <c r="F31" s="142">
        <f>SUMIFS('P&amp;L'!$B28:$CG28,'P&amp;L'!$B$3:$CG$3,F$6)</f>
        <v>-20195.730000000003</v>
      </c>
      <c r="G31" s="142">
        <f>SUMIFS('P&amp;L'!$B28:$CG28,'P&amp;L'!$B$3:$CG$3,G$6)</f>
        <v>-11025.580000000002</v>
      </c>
      <c r="H31" s="252">
        <f>SUMIFS('P&amp;L'!$B28:$CG28,'P&amp;L'!$B$3:$CG$3,H$6)</f>
        <v>-5823.3652846532323</v>
      </c>
      <c r="I31" s="253">
        <f>SUMIFS('P&amp;L'!$B28:$CG28,'P&amp;L'!$B$3:$CG$3,I$6)</f>
        <v>-5771.4517412847663</v>
      </c>
      <c r="J31" s="278"/>
    </row>
    <row r="32" spans="1:10" x14ac:dyDescent="0.25">
      <c r="A32" s="276"/>
      <c r="B32" s="231" t="s">
        <v>115</v>
      </c>
      <c r="C32" s="24">
        <f>SUMIFS('P&amp;L'!$B29:$CG29,'P&amp;L'!$B$3:$CG$3,C$6)</f>
        <v>-92323.670000000027</v>
      </c>
      <c r="D32" s="24">
        <f>SUMIFS('P&amp;L'!$B29:$CG29,'P&amp;L'!$B$3:$CG$3,D$6)</f>
        <v>-28425.780000000006</v>
      </c>
      <c r="E32" s="24">
        <f>SUMIFS('P&amp;L'!$B29:$CG29,'P&amp;L'!$B$3:$CG$3,E$6)</f>
        <v>-221913.74999999997</v>
      </c>
      <c r="F32" s="24">
        <f>SUMIFS('P&amp;L'!$B29:$CG29,'P&amp;L'!$B$3:$CG$3,F$6)</f>
        <v>-854342.45</v>
      </c>
      <c r="G32" s="24">
        <f>SUMIFS('P&amp;L'!$B29:$CG29,'P&amp;L'!$B$3:$CG$3,G$6)</f>
        <v>-136485.31000000058</v>
      </c>
      <c r="H32" s="250">
        <f>SUMIFS('P&amp;L'!$B29:$CG29,'P&amp;L'!$B$3:$CG$3,H$6)</f>
        <v>3379707.276933657</v>
      </c>
      <c r="I32" s="251">
        <f>SUMIFS('P&amp;L'!$B29:$CG29,'P&amp;L'!$B$3:$CG$3,I$6)</f>
        <v>2705604.9204536597</v>
      </c>
      <c r="J32" s="278"/>
    </row>
    <row r="33" spans="1:10" ht="14.4" thickBot="1" x14ac:dyDescent="0.3">
      <c r="A33" s="276"/>
      <c r="B33" s="263" t="s">
        <v>469</v>
      </c>
      <c r="C33" s="264">
        <f>C32/C10</f>
        <v>-0.22194921214407237</v>
      </c>
      <c r="D33" s="264">
        <f t="shared" ref="D33:I33" si="3">D32/D10</f>
        <v>-2.0187075830930511E-2</v>
      </c>
      <c r="E33" s="264">
        <f t="shared" si="3"/>
        <v>-6.6642938365582272E-2</v>
      </c>
      <c r="F33" s="264">
        <f t="shared" si="3"/>
        <v>-6.1586953496515655E-2</v>
      </c>
      <c r="G33" s="264">
        <f t="shared" si="3"/>
        <v>-5.4644479718657067E-3</v>
      </c>
      <c r="H33" s="265">
        <f t="shared" si="3"/>
        <v>0.1027128376236278</v>
      </c>
      <c r="I33" s="266">
        <f t="shared" si="3"/>
        <v>5.8175331507506485E-2</v>
      </c>
      <c r="J33" s="278"/>
    </row>
    <row r="34" spans="1:10" ht="14.4" thickTop="1" x14ac:dyDescent="0.25">
      <c r="A34" s="276"/>
      <c r="B34" s="221"/>
      <c r="C34" s="199"/>
      <c r="D34" s="199"/>
      <c r="E34" s="199"/>
      <c r="F34" s="199"/>
      <c r="G34" s="199"/>
      <c r="H34" s="254"/>
      <c r="I34" s="255"/>
      <c r="J34" s="278"/>
    </row>
    <row r="35" spans="1:10" x14ac:dyDescent="0.25">
      <c r="A35" s="276"/>
      <c r="B35" s="232" t="s">
        <v>449</v>
      </c>
      <c r="C35" s="293"/>
      <c r="D35" s="293" t="b">
        <f>D37=D36+C37</f>
        <v>1</v>
      </c>
      <c r="E35" s="293" t="b">
        <f t="shared" ref="E35:I35" si="4">E37=E36+D37</f>
        <v>1</v>
      </c>
      <c r="F35" s="293" t="b">
        <f t="shared" si="4"/>
        <v>1</v>
      </c>
      <c r="G35" s="293" t="b">
        <f t="shared" si="4"/>
        <v>1</v>
      </c>
      <c r="H35" s="294" t="b">
        <f t="shared" si="4"/>
        <v>1</v>
      </c>
      <c r="I35" s="295" t="b">
        <f t="shared" si="4"/>
        <v>1</v>
      </c>
      <c r="J35" s="278"/>
    </row>
    <row r="36" spans="1:10" x14ac:dyDescent="0.25">
      <c r="A36" s="276"/>
      <c r="B36" s="221" t="s">
        <v>404</v>
      </c>
      <c r="C36" s="142">
        <f>SUMIFS('P&amp;L'!$B32:$CG32,'P&amp;L'!$B$3:$CG$3,C$6)</f>
        <v>4186.41</v>
      </c>
      <c r="D36" s="142">
        <f>SUMIFS('P&amp;L'!$B32:$CG32,'P&amp;L'!$B$3:$CG$3,D$6)</f>
        <v>53712.800000000017</v>
      </c>
      <c r="E36" s="142">
        <f>SUMIFS('P&amp;L'!$B32:$CG32,'P&amp;L'!$B$3:$CG$3,E$6)</f>
        <v>619780.1</v>
      </c>
      <c r="F36" s="142">
        <f>SUMIFS('P&amp;L'!$B32:$CG32,'P&amp;L'!$B$3:$CG$3,F$6)</f>
        <v>-286454.79000000004</v>
      </c>
      <c r="G36" s="142">
        <f>SUMIFS('P&amp;L'!$B32:$CG32,'P&amp;L'!$B$3:$CG$3,G$6)</f>
        <v>-69222.350000000151</v>
      </c>
      <c r="H36" s="252">
        <f>SUMIFS('P&amp;L'!$B32:$CG32,'P&amp;L'!$B$3:$CG$3,H$6)</f>
        <v>2459520.8417965006</v>
      </c>
      <c r="I36" s="253">
        <f>SUMIFS('P&amp;L'!$B32:$CG32,'P&amp;L'!$B$3:$CG$3,I$6)</f>
        <v>2629894.5976727474</v>
      </c>
      <c r="J36" s="278"/>
    </row>
    <row r="37" spans="1:10" x14ac:dyDescent="0.25">
      <c r="A37" s="276"/>
      <c r="B37" s="221" t="s">
        <v>470</v>
      </c>
      <c r="C37" s="55">
        <f>'P&amp;L'!M33</f>
        <v>15314.55</v>
      </c>
      <c r="D37" s="55">
        <f>'P&amp;L'!Y33</f>
        <v>69027.350000000006</v>
      </c>
      <c r="E37" s="55">
        <f>'P&amp;L'!AK33</f>
        <v>688807.45</v>
      </c>
      <c r="F37" s="55">
        <f>'P&amp;L'!AW33</f>
        <v>402352.66</v>
      </c>
      <c r="G37" s="55">
        <f>'P&amp;L'!BI33</f>
        <v>333130.31</v>
      </c>
      <c r="H37" s="256">
        <f>'P&amp;L'!BU33</f>
        <v>2792651.1517965011</v>
      </c>
      <c r="I37" s="257">
        <f>'P&amp;L'!CG33</f>
        <v>5422545.7494692486</v>
      </c>
      <c r="J37" s="278"/>
    </row>
    <row r="38" spans="1:10" x14ac:dyDescent="0.25">
      <c r="A38" s="276"/>
      <c r="B38" s="225"/>
      <c r="C38" s="199"/>
      <c r="D38" s="199"/>
      <c r="E38" s="199"/>
      <c r="F38" s="199"/>
      <c r="G38" s="199"/>
      <c r="H38" s="254"/>
      <c r="I38" s="255"/>
      <c r="J38" s="278"/>
    </row>
    <row r="39" spans="1:10" x14ac:dyDescent="0.25">
      <c r="A39" s="276"/>
      <c r="B39" s="232" t="s">
        <v>454</v>
      </c>
      <c r="C39" s="233"/>
      <c r="D39" s="233"/>
      <c r="E39" s="233"/>
      <c r="F39" s="233"/>
      <c r="G39" s="233"/>
      <c r="H39" s="258"/>
      <c r="I39" s="259"/>
      <c r="J39" s="278"/>
    </row>
    <row r="40" spans="1:10" ht="14.4" thickBot="1" x14ac:dyDescent="0.3">
      <c r="A40" s="276"/>
      <c r="B40" s="226" t="s">
        <v>387</v>
      </c>
      <c r="C40" s="227">
        <f>SUMIFS('P&amp;L'!$B36:$CG36,'P&amp;L'!$B$3:$CG$3,C$6)</f>
        <v>-32178.010000000002</v>
      </c>
      <c r="D40" s="227">
        <f>SUMIFS('P&amp;L'!$B36:$CG36,'P&amp;L'!$B$3:$CG$3,D$6)</f>
        <v>-68714.240000000005</v>
      </c>
      <c r="E40" s="227">
        <f>SUMIFS('P&amp;L'!$B36:$CG36,'P&amp;L'!$B$3:$CG$3,E$6)</f>
        <v>-165932.77000000002</v>
      </c>
      <c r="F40" s="227">
        <f>SUMIFS('P&amp;L'!$B36:$CG36,'P&amp;L'!$B$3:$CG$3,F$6)</f>
        <v>-1107022.03</v>
      </c>
      <c r="G40" s="227">
        <f>SUMIFS('P&amp;L'!$B36:$CG36,'P&amp;L'!$B$3:$CG$3,G$6)</f>
        <v>-17592.969999999972</v>
      </c>
      <c r="H40" s="260">
        <f>SUMIFS('P&amp;L'!$B36:$CG36,'P&amp;L'!$B$3:$CG$3,H$6)</f>
        <v>-1041144.3651371567</v>
      </c>
      <c r="I40" s="261">
        <f>SUMIFS('P&amp;L'!$B36:$CG36,'P&amp;L'!$B$3:$CG$3,I$6)</f>
        <v>-75710.32278091264</v>
      </c>
      <c r="J40" s="278"/>
    </row>
    <row r="41" spans="1:10" x14ac:dyDescent="0.25">
      <c r="A41" s="276"/>
      <c r="B41" s="129"/>
      <c r="C41" s="277"/>
      <c r="D41" s="277"/>
      <c r="E41" s="277"/>
      <c r="F41" s="277"/>
      <c r="G41" s="277"/>
      <c r="H41" s="277"/>
      <c r="I41" s="277"/>
      <c r="J41" s="278"/>
    </row>
    <row r="42" spans="1:10" ht="14.4" thickBot="1" x14ac:dyDescent="0.3">
      <c r="A42" s="280"/>
      <c r="B42" s="281"/>
      <c r="C42" s="282"/>
      <c r="D42" s="282"/>
      <c r="E42" s="282"/>
      <c r="F42" s="282"/>
      <c r="G42" s="282"/>
      <c r="H42" s="282"/>
      <c r="I42" s="282"/>
      <c r="J42" s="283"/>
    </row>
  </sheetData>
  <mergeCells count="2">
    <mergeCell ref="C5:G5"/>
    <mergeCell ref="H5:I5"/>
  </mergeCells>
  <conditionalFormatting sqref="C7">
    <cfRule type="containsText" dxfId="8" priority="2" operator="containsText" text="FALSE">
      <formula>NOT(ISERROR(SEARCH("FALSE",C7)))</formula>
    </cfRule>
  </conditionalFormatting>
  <conditionalFormatting sqref="D7:I7">
    <cfRule type="containsText" dxfId="7" priority="1" operator="containsText" text="FALSE">
      <formula>NOT(ISERROR(SEARCH("FALSE",D7)))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3" tint="0.79998168889431442"/>
  </sheetPr>
  <dimension ref="A1:M89"/>
  <sheetViews>
    <sheetView workbookViewId="0"/>
  </sheetViews>
  <sheetFormatPr defaultColWidth="9" defaultRowHeight="14.4" x14ac:dyDescent="0.3"/>
  <cols>
    <col min="1" max="1" width="41.33203125" style="2" customWidth="1"/>
    <col min="2" max="5" width="12" style="2" customWidth="1"/>
    <col min="6" max="7" width="11.109375" style="2" customWidth="1"/>
    <col min="8" max="10" width="10.33203125" style="2" customWidth="1"/>
    <col min="11" max="13" width="11.109375" style="2" customWidth="1"/>
    <col min="14" max="16384" width="9" style="2"/>
  </cols>
  <sheetData>
    <row r="1" spans="1:13" ht="17.399999999999999" x14ac:dyDescent="0.3">
      <c r="A1" s="9" t="s">
        <v>1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</row>
    <row r="2" spans="1:13" ht="17.399999999999999" x14ac:dyDescent="0.3">
      <c r="A2" s="9" t="s">
        <v>361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</row>
    <row r="3" spans="1:13" x14ac:dyDescent="0.3">
      <c r="A3" s="11" t="s">
        <v>364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</row>
    <row r="5" spans="1:13" x14ac:dyDescent="0.3">
      <c r="A5" s="3"/>
      <c r="B5" s="4" t="s">
        <v>138</v>
      </c>
      <c r="C5" s="4" t="s">
        <v>139</v>
      </c>
      <c r="D5" s="4" t="s">
        <v>140</v>
      </c>
      <c r="E5" s="4" t="s">
        <v>141</v>
      </c>
      <c r="F5" s="4" t="s">
        <v>142</v>
      </c>
      <c r="G5" s="4" t="s">
        <v>143</v>
      </c>
      <c r="H5" s="4" t="s">
        <v>144</v>
      </c>
      <c r="I5" s="4" t="s">
        <v>145</v>
      </c>
      <c r="J5" s="4" t="s">
        <v>146</v>
      </c>
      <c r="K5" s="4" t="s">
        <v>147</v>
      </c>
      <c r="L5" s="4" t="s">
        <v>148</v>
      </c>
      <c r="M5" s="4" t="s">
        <v>149</v>
      </c>
    </row>
    <row r="6" spans="1:13" x14ac:dyDescent="0.3">
      <c r="A6" s="5" t="s">
        <v>359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</row>
    <row r="7" spans="1:13" x14ac:dyDescent="0.3">
      <c r="A7" s="5" t="s">
        <v>358</v>
      </c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</row>
    <row r="8" spans="1:13" x14ac:dyDescent="0.3">
      <c r="A8" s="5" t="s">
        <v>357</v>
      </c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</row>
    <row r="9" spans="1:13" x14ac:dyDescent="0.3">
      <c r="A9" s="5" t="s">
        <v>355</v>
      </c>
      <c r="B9" s="7">
        <f>176.95</f>
        <v>176.95</v>
      </c>
      <c r="C9" s="7">
        <f>11.95</f>
        <v>11.95</v>
      </c>
      <c r="D9" s="7">
        <f>0</f>
        <v>0</v>
      </c>
      <c r="E9" s="7">
        <f t="shared" ref="E9:M9" si="0">D9</f>
        <v>0</v>
      </c>
      <c r="F9" s="7">
        <f t="shared" si="0"/>
        <v>0</v>
      </c>
      <c r="G9" s="7">
        <f t="shared" si="0"/>
        <v>0</v>
      </c>
      <c r="H9" s="7">
        <f t="shared" si="0"/>
        <v>0</v>
      </c>
      <c r="I9" s="7">
        <f t="shared" si="0"/>
        <v>0</v>
      </c>
      <c r="J9" s="7">
        <f t="shared" si="0"/>
        <v>0</v>
      </c>
      <c r="K9" s="7">
        <f t="shared" si="0"/>
        <v>0</v>
      </c>
      <c r="L9" s="7">
        <f t="shared" si="0"/>
        <v>0</v>
      </c>
      <c r="M9" s="7">
        <f t="shared" si="0"/>
        <v>0</v>
      </c>
    </row>
    <row r="10" spans="1:13" x14ac:dyDescent="0.3">
      <c r="A10" s="5" t="s">
        <v>354</v>
      </c>
      <c r="B10" s="6"/>
      <c r="C10" s="7">
        <f>200</f>
        <v>200</v>
      </c>
      <c r="D10" s="7">
        <f>24114.04</f>
        <v>24114.04</v>
      </c>
      <c r="E10" s="7">
        <f>28242.59</f>
        <v>28242.59</v>
      </c>
      <c r="F10" s="7">
        <f>22600.4</f>
        <v>22600.400000000001</v>
      </c>
      <c r="G10" s="7">
        <f>24814.98</f>
        <v>24814.98</v>
      </c>
      <c r="H10" s="7">
        <f>20207.49</f>
        <v>20207.490000000002</v>
      </c>
      <c r="I10" s="7">
        <f>41430.91</f>
        <v>41430.910000000003</v>
      </c>
      <c r="J10" s="7">
        <f>48116.56</f>
        <v>48116.56</v>
      </c>
      <c r="K10" s="7">
        <f>40766.49</f>
        <v>40766.49</v>
      </c>
      <c r="L10" s="7">
        <f>38734.82</f>
        <v>38734.82</v>
      </c>
      <c r="M10" s="7">
        <f>38713.1</f>
        <v>38713.1</v>
      </c>
    </row>
    <row r="11" spans="1:13" x14ac:dyDescent="0.3">
      <c r="A11" s="5" t="s">
        <v>353</v>
      </c>
      <c r="B11" s="6"/>
      <c r="C11" s="7">
        <f>B11</f>
        <v>0</v>
      </c>
      <c r="D11" s="7">
        <f>C11</f>
        <v>0</v>
      </c>
      <c r="E11" s="7">
        <f>100000.04</f>
        <v>100000.04</v>
      </c>
      <c r="F11" s="7">
        <f>90000.6</f>
        <v>90000.6</v>
      </c>
      <c r="G11" s="7">
        <f>90013.54</f>
        <v>90013.54</v>
      </c>
      <c r="H11" s="7">
        <f>80014.08</f>
        <v>80014.080000000002</v>
      </c>
      <c r="I11" s="7">
        <f>70014.25</f>
        <v>70014.25</v>
      </c>
      <c r="J11" s="7">
        <f>40014.25</f>
        <v>40014.25</v>
      </c>
      <c r="K11" s="7">
        <f t="shared" ref="K11:L14" si="1">J11</f>
        <v>40014.25</v>
      </c>
      <c r="L11" s="7">
        <f t="shared" si="1"/>
        <v>40014.25</v>
      </c>
      <c r="M11" s="7">
        <f>30014.25</f>
        <v>30014.25</v>
      </c>
    </row>
    <row r="12" spans="1:13" x14ac:dyDescent="0.3">
      <c r="A12" s="5" t="s">
        <v>351</v>
      </c>
      <c r="B12" s="7">
        <f>4500</f>
        <v>4500</v>
      </c>
      <c r="C12" s="7">
        <f>B12</f>
        <v>4500</v>
      </c>
      <c r="D12" s="7">
        <f>C12</f>
        <v>4500</v>
      </c>
      <c r="E12" s="7">
        <f>D12</f>
        <v>4500</v>
      </c>
      <c r="F12" s="7">
        <f>0</f>
        <v>0</v>
      </c>
      <c r="G12" s="7">
        <f>F12</f>
        <v>0</v>
      </c>
      <c r="H12" s="7">
        <f>G12</f>
        <v>0</v>
      </c>
      <c r="I12" s="7">
        <f>H12</f>
        <v>0</v>
      </c>
      <c r="J12" s="7">
        <f>I12</f>
        <v>0</v>
      </c>
      <c r="K12" s="7">
        <f t="shared" si="1"/>
        <v>0</v>
      </c>
      <c r="L12" s="7">
        <f t="shared" si="1"/>
        <v>0</v>
      </c>
      <c r="M12" s="7">
        <f>L12</f>
        <v>0</v>
      </c>
    </row>
    <row r="13" spans="1:13" x14ac:dyDescent="0.3">
      <c r="A13" s="5" t="s">
        <v>350</v>
      </c>
      <c r="B13" s="7">
        <f>5133.81</f>
        <v>5133.8100000000004</v>
      </c>
      <c r="C13" s="7">
        <f>11474.22</f>
        <v>11474.22</v>
      </c>
      <c r="D13" s="7">
        <f>19277.41</f>
        <v>19277.41</v>
      </c>
      <c r="E13" s="7">
        <f>3920.65</f>
        <v>3920.65</v>
      </c>
      <c r="F13" s="7">
        <f>3477.1</f>
        <v>3477.1</v>
      </c>
      <c r="G13" s="7">
        <f>3727.17</f>
        <v>3727.17</v>
      </c>
      <c r="H13" s="7">
        <f>300</f>
        <v>300</v>
      </c>
      <c r="I13" s="7">
        <f>H13</f>
        <v>300</v>
      </c>
      <c r="J13" s="7">
        <f>I13</f>
        <v>300</v>
      </c>
      <c r="K13" s="7">
        <f t="shared" si="1"/>
        <v>300</v>
      </c>
      <c r="L13" s="7">
        <f t="shared" si="1"/>
        <v>300</v>
      </c>
      <c r="M13" s="7">
        <f>L13</f>
        <v>300</v>
      </c>
    </row>
    <row r="14" spans="1:13" x14ac:dyDescent="0.3">
      <c r="A14" s="5" t="s">
        <v>349</v>
      </c>
      <c r="B14" s="7">
        <f>22150.3</f>
        <v>22150.3</v>
      </c>
      <c r="C14" s="7">
        <f>17300.73</f>
        <v>17300.73</v>
      </c>
      <c r="D14" s="7">
        <f>2441.09</f>
        <v>2441.09</v>
      </c>
      <c r="E14" s="7">
        <f>300.01</f>
        <v>300.01</v>
      </c>
      <c r="F14" s="7">
        <f>300.02</f>
        <v>300.02</v>
      </c>
      <c r="G14" s="7">
        <f>0</f>
        <v>0</v>
      </c>
      <c r="H14" s="7">
        <f>0</f>
        <v>0</v>
      </c>
      <c r="I14" s="7">
        <f>H14</f>
        <v>0</v>
      </c>
      <c r="J14" s="7">
        <f>I14</f>
        <v>0</v>
      </c>
      <c r="K14" s="7">
        <f t="shared" si="1"/>
        <v>0</v>
      </c>
      <c r="L14" s="7">
        <f t="shared" si="1"/>
        <v>0</v>
      </c>
      <c r="M14" s="7">
        <f>L14</f>
        <v>0</v>
      </c>
    </row>
    <row r="15" spans="1:13" x14ac:dyDescent="0.3">
      <c r="A15" s="5" t="s">
        <v>348</v>
      </c>
      <c r="B15" s="8">
        <f t="shared" ref="B15:M15" si="2">(((((B9)+(B10))+(B11))+(B12))+(B13))+(B14)</f>
        <v>31961.059999999998</v>
      </c>
      <c r="C15" s="8">
        <f t="shared" si="2"/>
        <v>33486.899999999994</v>
      </c>
      <c r="D15" s="8">
        <f t="shared" si="2"/>
        <v>50332.539999999994</v>
      </c>
      <c r="E15" s="8">
        <f t="shared" si="2"/>
        <v>136963.29</v>
      </c>
      <c r="F15" s="8">
        <f t="shared" si="2"/>
        <v>116378.12000000001</v>
      </c>
      <c r="G15" s="8">
        <f t="shared" si="2"/>
        <v>118555.68999999999</v>
      </c>
      <c r="H15" s="8">
        <f t="shared" si="2"/>
        <v>100521.57</v>
      </c>
      <c r="I15" s="8">
        <f t="shared" si="2"/>
        <v>111745.16</v>
      </c>
      <c r="J15" s="8">
        <f t="shared" si="2"/>
        <v>88430.81</v>
      </c>
      <c r="K15" s="8">
        <f t="shared" si="2"/>
        <v>81080.739999999991</v>
      </c>
      <c r="L15" s="8">
        <f t="shared" si="2"/>
        <v>79049.070000000007</v>
      </c>
      <c r="M15" s="8">
        <f t="shared" si="2"/>
        <v>69027.350000000006</v>
      </c>
    </row>
    <row r="16" spans="1:13" x14ac:dyDescent="0.3">
      <c r="A16" s="5" t="s">
        <v>347</v>
      </c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</row>
    <row r="17" spans="1:13" x14ac:dyDescent="0.3">
      <c r="A17" s="5" t="s">
        <v>346</v>
      </c>
      <c r="B17" s="7">
        <f>0</f>
        <v>0</v>
      </c>
      <c r="C17" s="7">
        <f t="shared" ref="C17:M17" si="3">B17</f>
        <v>0</v>
      </c>
      <c r="D17" s="7">
        <f t="shared" si="3"/>
        <v>0</v>
      </c>
      <c r="E17" s="7">
        <f t="shared" si="3"/>
        <v>0</v>
      </c>
      <c r="F17" s="7">
        <f t="shared" si="3"/>
        <v>0</v>
      </c>
      <c r="G17" s="7">
        <f t="shared" si="3"/>
        <v>0</v>
      </c>
      <c r="H17" s="7">
        <f t="shared" si="3"/>
        <v>0</v>
      </c>
      <c r="I17" s="7">
        <f t="shared" si="3"/>
        <v>0</v>
      </c>
      <c r="J17" s="7">
        <f t="shared" si="3"/>
        <v>0</v>
      </c>
      <c r="K17" s="7">
        <f t="shared" si="3"/>
        <v>0</v>
      </c>
      <c r="L17" s="7">
        <f t="shared" si="3"/>
        <v>0</v>
      </c>
      <c r="M17" s="7">
        <f t="shared" si="3"/>
        <v>0</v>
      </c>
    </row>
    <row r="18" spans="1:13" x14ac:dyDescent="0.3">
      <c r="A18" s="5" t="s">
        <v>345</v>
      </c>
      <c r="B18" s="8">
        <f t="shared" ref="B18:M18" si="4">B17</f>
        <v>0</v>
      </c>
      <c r="C18" s="8">
        <f t="shared" si="4"/>
        <v>0</v>
      </c>
      <c r="D18" s="8">
        <f t="shared" si="4"/>
        <v>0</v>
      </c>
      <c r="E18" s="8">
        <f t="shared" si="4"/>
        <v>0</v>
      </c>
      <c r="F18" s="8">
        <f t="shared" si="4"/>
        <v>0</v>
      </c>
      <c r="G18" s="8">
        <f t="shared" si="4"/>
        <v>0</v>
      </c>
      <c r="H18" s="8">
        <f t="shared" si="4"/>
        <v>0</v>
      </c>
      <c r="I18" s="8">
        <f t="shared" si="4"/>
        <v>0</v>
      </c>
      <c r="J18" s="8">
        <f t="shared" si="4"/>
        <v>0</v>
      </c>
      <c r="K18" s="8">
        <f t="shared" si="4"/>
        <v>0</v>
      </c>
      <c r="L18" s="8">
        <f t="shared" si="4"/>
        <v>0</v>
      </c>
      <c r="M18" s="8">
        <f t="shared" si="4"/>
        <v>0</v>
      </c>
    </row>
    <row r="19" spans="1:13" x14ac:dyDescent="0.3">
      <c r="A19" s="5" t="s">
        <v>344</v>
      </c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</row>
    <row r="20" spans="1:13" x14ac:dyDescent="0.3">
      <c r="A20" s="5" t="s">
        <v>342</v>
      </c>
      <c r="B20" s="7">
        <f>64074.92</f>
        <v>64074.92</v>
      </c>
      <c r="C20" s="7">
        <f>66455.26</f>
        <v>66455.259999999995</v>
      </c>
      <c r="D20" s="7">
        <f>66273.85</f>
        <v>66273.850000000006</v>
      </c>
      <c r="E20" s="7">
        <f>86413.07</f>
        <v>86413.07</v>
      </c>
      <c r="F20" s="7">
        <f>100892.12</f>
        <v>100892.12</v>
      </c>
      <c r="G20" s="7">
        <f>101262.48</f>
        <v>101262.48</v>
      </c>
      <c r="H20" s="7">
        <f>109227.63</f>
        <v>109227.63</v>
      </c>
      <c r="I20" s="7">
        <f>110771.68</f>
        <v>110771.68</v>
      </c>
      <c r="J20" s="7">
        <f>109039.94</f>
        <v>109039.94</v>
      </c>
      <c r="K20" s="7">
        <f>98815.15</f>
        <v>98815.15</v>
      </c>
      <c r="L20" s="7">
        <f>93716.47</f>
        <v>93716.47</v>
      </c>
      <c r="M20" s="7">
        <f>120431.55</f>
        <v>120431.55</v>
      </c>
    </row>
    <row r="21" spans="1:13" x14ac:dyDescent="0.3">
      <c r="A21" s="5" t="s">
        <v>339</v>
      </c>
      <c r="B21" s="8">
        <f t="shared" ref="B21:M21" si="5">B20</f>
        <v>64074.92</v>
      </c>
      <c r="C21" s="8">
        <f t="shared" si="5"/>
        <v>66455.259999999995</v>
      </c>
      <c r="D21" s="8">
        <f t="shared" si="5"/>
        <v>66273.850000000006</v>
      </c>
      <c r="E21" s="8">
        <f t="shared" si="5"/>
        <v>86413.07</v>
      </c>
      <c r="F21" s="8">
        <f t="shared" si="5"/>
        <v>100892.12</v>
      </c>
      <c r="G21" s="8">
        <f t="shared" si="5"/>
        <v>101262.48</v>
      </c>
      <c r="H21" s="8">
        <f t="shared" si="5"/>
        <v>109227.63</v>
      </c>
      <c r="I21" s="8">
        <f t="shared" si="5"/>
        <v>110771.68</v>
      </c>
      <c r="J21" s="8">
        <f t="shared" si="5"/>
        <v>109039.94</v>
      </c>
      <c r="K21" s="8">
        <f t="shared" si="5"/>
        <v>98815.15</v>
      </c>
      <c r="L21" s="8">
        <f t="shared" si="5"/>
        <v>93716.47</v>
      </c>
      <c r="M21" s="8">
        <f t="shared" si="5"/>
        <v>120431.55</v>
      </c>
    </row>
    <row r="22" spans="1:13" x14ac:dyDescent="0.3">
      <c r="A22" s="5" t="s">
        <v>338</v>
      </c>
      <c r="B22" s="8">
        <f t="shared" ref="B22:M22" si="6">((B15)+(B18))+(B21)</f>
        <v>96035.98</v>
      </c>
      <c r="C22" s="8">
        <f t="shared" si="6"/>
        <v>99942.159999999989</v>
      </c>
      <c r="D22" s="8">
        <f t="shared" si="6"/>
        <v>116606.39</v>
      </c>
      <c r="E22" s="8">
        <f t="shared" si="6"/>
        <v>223376.36000000002</v>
      </c>
      <c r="F22" s="8">
        <f t="shared" si="6"/>
        <v>217270.24</v>
      </c>
      <c r="G22" s="8">
        <f t="shared" si="6"/>
        <v>219818.16999999998</v>
      </c>
      <c r="H22" s="8">
        <f t="shared" si="6"/>
        <v>209749.2</v>
      </c>
      <c r="I22" s="8">
        <f t="shared" si="6"/>
        <v>222516.84</v>
      </c>
      <c r="J22" s="8">
        <f t="shared" si="6"/>
        <v>197470.75</v>
      </c>
      <c r="K22" s="8">
        <f t="shared" si="6"/>
        <v>179895.88999999998</v>
      </c>
      <c r="L22" s="8">
        <f t="shared" si="6"/>
        <v>172765.54</v>
      </c>
      <c r="M22" s="8">
        <f t="shared" si="6"/>
        <v>189458.90000000002</v>
      </c>
    </row>
    <row r="23" spans="1:13" x14ac:dyDescent="0.3">
      <c r="A23" s="5" t="s">
        <v>337</v>
      </c>
      <c r="B23" s="8">
        <f t="shared" ref="B23:M23" si="7">B22</f>
        <v>96035.98</v>
      </c>
      <c r="C23" s="8">
        <f t="shared" si="7"/>
        <v>99942.159999999989</v>
      </c>
      <c r="D23" s="8">
        <f t="shared" si="7"/>
        <v>116606.39</v>
      </c>
      <c r="E23" s="8">
        <f t="shared" si="7"/>
        <v>223376.36000000002</v>
      </c>
      <c r="F23" s="8">
        <f t="shared" si="7"/>
        <v>217270.24</v>
      </c>
      <c r="G23" s="8">
        <f t="shared" si="7"/>
        <v>219818.16999999998</v>
      </c>
      <c r="H23" s="8">
        <f t="shared" si="7"/>
        <v>209749.2</v>
      </c>
      <c r="I23" s="8">
        <f t="shared" si="7"/>
        <v>222516.84</v>
      </c>
      <c r="J23" s="8">
        <f t="shared" si="7"/>
        <v>197470.75</v>
      </c>
      <c r="K23" s="8">
        <f t="shared" si="7"/>
        <v>179895.88999999998</v>
      </c>
      <c r="L23" s="8">
        <f t="shared" si="7"/>
        <v>172765.54</v>
      </c>
      <c r="M23" s="8">
        <f t="shared" si="7"/>
        <v>189458.90000000002</v>
      </c>
    </row>
    <row r="24" spans="1:13" x14ac:dyDescent="0.3">
      <c r="A24" s="5" t="s">
        <v>336</v>
      </c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</row>
    <row r="25" spans="1:13" x14ac:dyDescent="0.3">
      <c r="A25" s="5" t="s">
        <v>335</v>
      </c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</row>
    <row r="26" spans="1:13" x14ac:dyDescent="0.3">
      <c r="A26" s="5" t="s">
        <v>334</v>
      </c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</row>
    <row r="27" spans="1:13" x14ac:dyDescent="0.3">
      <c r="A27" s="5" t="s">
        <v>333</v>
      </c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</row>
    <row r="28" spans="1:13" x14ac:dyDescent="0.3">
      <c r="A28" s="5" t="s">
        <v>331</v>
      </c>
      <c r="B28" s="7">
        <f>3970.8</f>
        <v>3970.8</v>
      </c>
      <c r="C28" s="7">
        <f>5956.2</f>
        <v>5956.2</v>
      </c>
      <c r="D28" s="7">
        <f>7941.6</f>
        <v>7941.6</v>
      </c>
      <c r="E28" s="7">
        <f>0</f>
        <v>0</v>
      </c>
      <c r="F28" s="7">
        <f>E28</f>
        <v>0</v>
      </c>
      <c r="G28" s="7">
        <f>F28</f>
        <v>0</v>
      </c>
      <c r="H28" s="7">
        <f>1985</f>
        <v>1985</v>
      </c>
      <c r="I28" s="7">
        <f>1985</f>
        <v>1985</v>
      </c>
      <c r="J28" s="7">
        <f>I28</f>
        <v>1985</v>
      </c>
      <c r="K28" s="7">
        <f>J28</f>
        <v>1985</v>
      </c>
      <c r="L28" s="7">
        <f>3970</f>
        <v>3970</v>
      </c>
      <c r="M28" s="7">
        <f>3970</f>
        <v>3970</v>
      </c>
    </row>
    <row r="29" spans="1:13" x14ac:dyDescent="0.3">
      <c r="A29" s="5" t="s">
        <v>330</v>
      </c>
      <c r="B29" s="8">
        <f t="shared" ref="B29:M29" si="8">B28</f>
        <v>3970.8</v>
      </c>
      <c r="C29" s="8">
        <f t="shared" si="8"/>
        <v>5956.2</v>
      </c>
      <c r="D29" s="8">
        <f t="shared" si="8"/>
        <v>7941.6</v>
      </c>
      <c r="E29" s="8">
        <f t="shared" si="8"/>
        <v>0</v>
      </c>
      <c r="F29" s="8">
        <f t="shared" si="8"/>
        <v>0</v>
      </c>
      <c r="G29" s="8">
        <f t="shared" si="8"/>
        <v>0</v>
      </c>
      <c r="H29" s="8">
        <f t="shared" si="8"/>
        <v>1985</v>
      </c>
      <c r="I29" s="8">
        <f t="shared" si="8"/>
        <v>1985</v>
      </c>
      <c r="J29" s="8">
        <f t="shared" si="8"/>
        <v>1985</v>
      </c>
      <c r="K29" s="8">
        <f t="shared" si="8"/>
        <v>1985</v>
      </c>
      <c r="L29" s="8">
        <f t="shared" si="8"/>
        <v>3970</v>
      </c>
      <c r="M29" s="8">
        <f t="shared" si="8"/>
        <v>3970</v>
      </c>
    </row>
    <row r="30" spans="1:13" x14ac:dyDescent="0.3">
      <c r="A30" s="5" t="s">
        <v>329</v>
      </c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</row>
    <row r="31" spans="1:13" x14ac:dyDescent="0.3">
      <c r="A31" s="5" t="s">
        <v>328</v>
      </c>
      <c r="B31" s="6"/>
      <c r="C31" s="7">
        <f>-100</f>
        <v>-100</v>
      </c>
      <c r="D31" s="7">
        <f>C31</f>
        <v>-100</v>
      </c>
      <c r="E31" s="7">
        <f>-600</f>
        <v>-600</v>
      </c>
      <c r="F31" s="7">
        <f>-1057</f>
        <v>-1057</v>
      </c>
      <c r="G31" s="7">
        <f>-8642.29</f>
        <v>-8642.2900000000009</v>
      </c>
      <c r="H31" s="7">
        <f t="shared" ref="H31:M31" si="9">G31</f>
        <v>-8642.2900000000009</v>
      </c>
      <c r="I31" s="7">
        <f t="shared" si="9"/>
        <v>-8642.2900000000009</v>
      </c>
      <c r="J31" s="7">
        <f t="shared" si="9"/>
        <v>-8642.2900000000009</v>
      </c>
      <c r="K31" s="7">
        <f t="shared" si="9"/>
        <v>-8642.2900000000009</v>
      </c>
      <c r="L31" s="7">
        <f t="shared" si="9"/>
        <v>-8642.2900000000009</v>
      </c>
      <c r="M31" s="7">
        <f t="shared" si="9"/>
        <v>-8642.2900000000009</v>
      </c>
    </row>
    <row r="32" spans="1:13" x14ac:dyDescent="0.3">
      <c r="A32" s="5" t="s">
        <v>325</v>
      </c>
      <c r="B32" s="7">
        <f>19970.83</f>
        <v>19970.830000000002</v>
      </c>
      <c r="C32" s="7">
        <f>19000</f>
        <v>19000</v>
      </c>
      <c r="D32" s="7">
        <f>18160.5</f>
        <v>18160.5</v>
      </c>
      <c r="E32" s="7">
        <f>16905.73</f>
        <v>16905.73</v>
      </c>
      <c r="F32" s="7">
        <f>16144.74</f>
        <v>16144.74</v>
      </c>
      <c r="G32" s="7">
        <f>15381.14</f>
        <v>15381.14</v>
      </c>
      <c r="H32" s="7">
        <f>14651.11</f>
        <v>14651.11</v>
      </c>
      <c r="I32" s="7">
        <f>14477.7</f>
        <v>14477.7</v>
      </c>
      <c r="J32" s="7">
        <f>14171.68</f>
        <v>14171.68</v>
      </c>
      <c r="K32" s="7">
        <f>13885.2</f>
        <v>13885.2</v>
      </c>
      <c r="L32" s="7">
        <f>13597.21</f>
        <v>13597.21</v>
      </c>
      <c r="M32" s="7">
        <f>13274.17</f>
        <v>13274.17</v>
      </c>
    </row>
    <row r="33" spans="1:13" x14ac:dyDescent="0.3">
      <c r="A33" s="5" t="s">
        <v>324</v>
      </c>
      <c r="B33" s="7">
        <f>1993.65</f>
        <v>1993.65</v>
      </c>
      <c r="C33" s="7">
        <f>1876.16</f>
        <v>1876.16</v>
      </c>
      <c r="D33" s="7">
        <f>1866.98</f>
        <v>1866.98</v>
      </c>
      <c r="E33" s="7">
        <f>1848.97</f>
        <v>1848.97</v>
      </c>
      <c r="F33" s="7">
        <f>1829.35</f>
        <v>1829.35</v>
      </c>
      <c r="G33" s="7">
        <f>2007.13</f>
        <v>2007.13</v>
      </c>
      <c r="H33" s="7">
        <f>1979.28</f>
        <v>1979.28</v>
      </c>
      <c r="I33" s="7">
        <f>1951.86</f>
        <v>1951.86</v>
      </c>
      <c r="J33" s="7">
        <f>1924.13</f>
        <v>1924.13</v>
      </c>
      <c r="K33" s="7">
        <f>1895.34</f>
        <v>1895.34</v>
      </c>
      <c r="L33" s="7">
        <f>1866.95</f>
        <v>1866.95</v>
      </c>
      <c r="M33" s="7">
        <f>1837.92</f>
        <v>1837.92</v>
      </c>
    </row>
    <row r="34" spans="1:13" x14ac:dyDescent="0.3">
      <c r="A34" s="5" t="s">
        <v>319</v>
      </c>
      <c r="B34" s="8">
        <f t="shared" ref="B34:M34" si="10">((B31)+(B32))+(B33)</f>
        <v>21964.480000000003</v>
      </c>
      <c r="C34" s="8">
        <f t="shared" si="10"/>
        <v>20776.16</v>
      </c>
      <c r="D34" s="8">
        <f t="shared" si="10"/>
        <v>19927.48</v>
      </c>
      <c r="E34" s="8">
        <f t="shared" si="10"/>
        <v>18154.7</v>
      </c>
      <c r="F34" s="8">
        <f t="shared" si="10"/>
        <v>16917.09</v>
      </c>
      <c r="G34" s="8">
        <f t="shared" si="10"/>
        <v>8745.98</v>
      </c>
      <c r="H34" s="8">
        <f t="shared" si="10"/>
        <v>7988.0999999999995</v>
      </c>
      <c r="I34" s="8">
        <f t="shared" si="10"/>
        <v>7787.2699999999995</v>
      </c>
      <c r="J34" s="8">
        <f t="shared" si="10"/>
        <v>7453.5199999999995</v>
      </c>
      <c r="K34" s="8">
        <f t="shared" si="10"/>
        <v>7138.25</v>
      </c>
      <c r="L34" s="8">
        <f t="shared" si="10"/>
        <v>6821.8699999999981</v>
      </c>
      <c r="M34" s="8">
        <f t="shared" si="10"/>
        <v>6469.7999999999993</v>
      </c>
    </row>
    <row r="35" spans="1:13" x14ac:dyDescent="0.3">
      <c r="A35" s="5" t="s">
        <v>318</v>
      </c>
      <c r="B35" s="6"/>
      <c r="C35" s="7">
        <f t="shared" ref="C35:M35" si="11">B35</f>
        <v>0</v>
      </c>
      <c r="D35" s="7">
        <f t="shared" si="11"/>
        <v>0</v>
      </c>
      <c r="E35" s="7">
        <f t="shared" si="11"/>
        <v>0</v>
      </c>
      <c r="F35" s="7">
        <f t="shared" si="11"/>
        <v>0</v>
      </c>
      <c r="G35" s="7">
        <f t="shared" si="11"/>
        <v>0</v>
      </c>
      <c r="H35" s="7">
        <f t="shared" si="11"/>
        <v>0</v>
      </c>
      <c r="I35" s="7">
        <f t="shared" si="11"/>
        <v>0</v>
      </c>
      <c r="J35" s="7">
        <f t="shared" si="11"/>
        <v>0</v>
      </c>
      <c r="K35" s="7">
        <f t="shared" si="11"/>
        <v>0</v>
      </c>
      <c r="L35" s="7">
        <f t="shared" si="11"/>
        <v>0</v>
      </c>
      <c r="M35" s="7">
        <f t="shared" si="11"/>
        <v>0</v>
      </c>
    </row>
    <row r="36" spans="1:13" x14ac:dyDescent="0.3">
      <c r="A36" s="5" t="s">
        <v>317</v>
      </c>
      <c r="B36" s="6"/>
      <c r="C36" s="7">
        <f>B36</f>
        <v>0</v>
      </c>
      <c r="D36" s="7">
        <f>62.82</f>
        <v>62.82</v>
      </c>
      <c r="E36" s="7">
        <f>12244.64</f>
        <v>12244.64</v>
      </c>
      <c r="F36" s="7">
        <f>11657.14</f>
        <v>11657.14</v>
      </c>
      <c r="G36" s="7">
        <f>12133.88</f>
        <v>12133.88</v>
      </c>
      <c r="H36" s="7">
        <f>7217.99</f>
        <v>7217.99</v>
      </c>
      <c r="I36" s="7">
        <f>7857.2</f>
        <v>7857.2</v>
      </c>
      <c r="J36" s="7">
        <f>7958.25</f>
        <v>7958.25</v>
      </c>
      <c r="K36" s="7">
        <f>9147.28</f>
        <v>9147.2800000000007</v>
      </c>
      <c r="L36" s="7">
        <f>10118.91</f>
        <v>10118.91</v>
      </c>
      <c r="M36" s="7">
        <f>10534.41</f>
        <v>10534.41</v>
      </c>
    </row>
    <row r="37" spans="1:13" x14ac:dyDescent="0.3">
      <c r="A37" s="5" t="s">
        <v>316</v>
      </c>
      <c r="B37" s="8">
        <f t="shared" ref="B37:M37" si="12">(B35)+(B36)</f>
        <v>0</v>
      </c>
      <c r="C37" s="8">
        <f t="shared" si="12"/>
        <v>0</v>
      </c>
      <c r="D37" s="8">
        <f t="shared" si="12"/>
        <v>62.82</v>
      </c>
      <c r="E37" s="8">
        <f t="shared" si="12"/>
        <v>12244.64</v>
      </c>
      <c r="F37" s="8">
        <f t="shared" si="12"/>
        <v>11657.14</v>
      </c>
      <c r="G37" s="8">
        <f t="shared" si="12"/>
        <v>12133.88</v>
      </c>
      <c r="H37" s="8">
        <f t="shared" si="12"/>
        <v>7217.99</v>
      </c>
      <c r="I37" s="8">
        <f t="shared" si="12"/>
        <v>7857.2</v>
      </c>
      <c r="J37" s="8">
        <f t="shared" si="12"/>
        <v>7958.25</v>
      </c>
      <c r="K37" s="8">
        <f t="shared" si="12"/>
        <v>9147.2800000000007</v>
      </c>
      <c r="L37" s="8">
        <f t="shared" si="12"/>
        <v>10118.91</v>
      </c>
      <c r="M37" s="8">
        <f t="shared" si="12"/>
        <v>10534.41</v>
      </c>
    </row>
    <row r="38" spans="1:13" x14ac:dyDescent="0.3">
      <c r="A38" s="5" t="s">
        <v>315</v>
      </c>
      <c r="B38" s="7">
        <f>4447.12</f>
        <v>4447.12</v>
      </c>
      <c r="C38" s="7">
        <f>3106.15</f>
        <v>3106.15</v>
      </c>
      <c r="D38" s="7">
        <f>0</f>
        <v>0</v>
      </c>
      <c r="E38" s="7">
        <f>0</f>
        <v>0</v>
      </c>
      <c r="F38" s="7">
        <f t="shared" ref="F38:M38" si="13">E38</f>
        <v>0</v>
      </c>
      <c r="G38" s="7">
        <f t="shared" si="13"/>
        <v>0</v>
      </c>
      <c r="H38" s="7">
        <f t="shared" si="13"/>
        <v>0</v>
      </c>
      <c r="I38" s="7">
        <f t="shared" si="13"/>
        <v>0</v>
      </c>
      <c r="J38" s="7">
        <f t="shared" si="13"/>
        <v>0</v>
      </c>
      <c r="K38" s="7">
        <f t="shared" si="13"/>
        <v>0</v>
      </c>
      <c r="L38" s="7">
        <f t="shared" si="13"/>
        <v>0</v>
      </c>
      <c r="M38" s="7">
        <f t="shared" si="13"/>
        <v>0</v>
      </c>
    </row>
    <row r="39" spans="1:13" x14ac:dyDescent="0.3">
      <c r="A39" s="5" t="s">
        <v>314</v>
      </c>
      <c r="B39" s="8">
        <f t="shared" ref="B39:M39" si="14">((B34)+(B37))+(B38)</f>
        <v>26411.600000000002</v>
      </c>
      <c r="C39" s="8">
        <f t="shared" si="14"/>
        <v>23882.31</v>
      </c>
      <c r="D39" s="8">
        <f t="shared" si="14"/>
        <v>19990.3</v>
      </c>
      <c r="E39" s="8">
        <f t="shared" si="14"/>
        <v>30399.34</v>
      </c>
      <c r="F39" s="8">
        <f t="shared" si="14"/>
        <v>28574.23</v>
      </c>
      <c r="G39" s="8">
        <f t="shared" si="14"/>
        <v>20879.86</v>
      </c>
      <c r="H39" s="8">
        <f t="shared" si="14"/>
        <v>15206.09</v>
      </c>
      <c r="I39" s="8">
        <f t="shared" si="14"/>
        <v>15644.47</v>
      </c>
      <c r="J39" s="8">
        <f t="shared" si="14"/>
        <v>15411.77</v>
      </c>
      <c r="K39" s="8">
        <f t="shared" si="14"/>
        <v>16285.53</v>
      </c>
      <c r="L39" s="8">
        <f t="shared" si="14"/>
        <v>16940.78</v>
      </c>
      <c r="M39" s="8">
        <f t="shared" si="14"/>
        <v>17004.21</v>
      </c>
    </row>
    <row r="40" spans="1:13" x14ac:dyDescent="0.3">
      <c r="A40" s="5" t="s">
        <v>313</v>
      </c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</row>
    <row r="41" spans="1:13" x14ac:dyDescent="0.3">
      <c r="A41" s="5" t="s">
        <v>312</v>
      </c>
      <c r="B41" s="7">
        <f>20443.3</f>
        <v>20443.3</v>
      </c>
      <c r="C41" s="7">
        <f>17981.64</f>
        <v>17981.64</v>
      </c>
      <c r="D41" s="7">
        <f>15490.28</f>
        <v>15490.28</v>
      </c>
      <c r="E41" s="7">
        <f>12968.87</f>
        <v>12968.87</v>
      </c>
      <c r="F41" s="7">
        <f>10417.04</f>
        <v>10417.040000000001</v>
      </c>
      <c r="G41" s="7">
        <f>7834.43</f>
        <v>7834.43</v>
      </c>
      <c r="H41" s="7">
        <f>5235.96</f>
        <v>5235.96</v>
      </c>
      <c r="I41" s="7">
        <f>2624.5</f>
        <v>2624.5</v>
      </c>
      <c r="J41" s="7">
        <f>0</f>
        <v>0</v>
      </c>
      <c r="K41" s="7">
        <f>J41</f>
        <v>0</v>
      </c>
      <c r="L41" s="7">
        <f>K41</f>
        <v>0</v>
      </c>
      <c r="M41" s="7">
        <f>L41</f>
        <v>0</v>
      </c>
    </row>
    <row r="42" spans="1:13" x14ac:dyDescent="0.3">
      <c r="A42" s="5" t="s">
        <v>311</v>
      </c>
      <c r="B42" s="7">
        <f>50000</f>
        <v>50000</v>
      </c>
      <c r="C42" s="7">
        <f>B42</f>
        <v>50000</v>
      </c>
      <c r="D42" s="7">
        <f>48167.89</f>
        <v>48167.89</v>
      </c>
      <c r="E42" s="7">
        <f>46315.4</f>
        <v>46315.4</v>
      </c>
      <c r="F42" s="7">
        <f>44442.3</f>
        <v>44442.3</v>
      </c>
      <c r="G42" s="7">
        <f>42548.36</f>
        <v>42548.36</v>
      </c>
      <c r="H42" s="7">
        <f>40633.36</f>
        <v>40633.360000000001</v>
      </c>
      <c r="I42" s="7">
        <f>38697.05</f>
        <v>38697.050000000003</v>
      </c>
      <c r="J42" s="7">
        <f>36739.2</f>
        <v>36739.199999999997</v>
      </c>
      <c r="K42" s="7">
        <f>34759.57</f>
        <v>34759.57</v>
      </c>
      <c r="L42" s="7">
        <f>32757.91</f>
        <v>32757.91</v>
      </c>
      <c r="M42" s="7">
        <f>30733.99</f>
        <v>30733.99</v>
      </c>
    </row>
    <row r="43" spans="1:13" x14ac:dyDescent="0.3">
      <c r="A43" s="5" t="s">
        <v>309</v>
      </c>
      <c r="B43" s="6"/>
      <c r="C43" s="7">
        <f>B43</f>
        <v>0</v>
      </c>
      <c r="D43" s="7">
        <f t="shared" ref="D43:L46" si="15">C43</f>
        <v>0</v>
      </c>
      <c r="E43" s="7">
        <f t="shared" si="15"/>
        <v>0</v>
      </c>
      <c r="F43" s="7">
        <f t="shared" si="15"/>
        <v>0</v>
      </c>
      <c r="G43" s="7">
        <f t="shared" si="15"/>
        <v>0</v>
      </c>
      <c r="H43" s="7">
        <f t="shared" si="15"/>
        <v>0</v>
      </c>
      <c r="I43" s="7">
        <f>461.54</f>
        <v>461.54</v>
      </c>
      <c r="J43" s="7">
        <f>923.08</f>
        <v>923.08</v>
      </c>
      <c r="K43" s="7">
        <f>1384.62</f>
        <v>1384.62</v>
      </c>
      <c r="L43" s="7">
        <f>1692.32</f>
        <v>1692.32</v>
      </c>
      <c r="M43" s="7">
        <f>L43</f>
        <v>1692.32</v>
      </c>
    </row>
    <row r="44" spans="1:13" x14ac:dyDescent="0.3">
      <c r="A44" s="5" t="s">
        <v>308</v>
      </c>
      <c r="B44" s="7">
        <f>0</f>
        <v>0</v>
      </c>
      <c r="C44" s="7">
        <f>B44</f>
        <v>0</v>
      </c>
      <c r="D44" s="7">
        <f t="shared" si="15"/>
        <v>0</v>
      </c>
      <c r="E44" s="7">
        <f t="shared" si="15"/>
        <v>0</v>
      </c>
      <c r="F44" s="7">
        <f t="shared" si="15"/>
        <v>0</v>
      </c>
      <c r="G44" s="7">
        <f t="shared" si="15"/>
        <v>0</v>
      </c>
      <c r="H44" s="7">
        <f t="shared" si="15"/>
        <v>0</v>
      </c>
      <c r="I44" s="7">
        <f t="shared" si="15"/>
        <v>0</v>
      </c>
      <c r="J44" s="7">
        <f t="shared" si="15"/>
        <v>0</v>
      </c>
      <c r="K44" s="7">
        <f t="shared" si="15"/>
        <v>0</v>
      </c>
      <c r="L44" s="7">
        <f t="shared" si="15"/>
        <v>0</v>
      </c>
      <c r="M44" s="7">
        <f>L44</f>
        <v>0</v>
      </c>
    </row>
    <row r="45" spans="1:13" x14ac:dyDescent="0.3">
      <c r="A45" s="5" t="s">
        <v>307</v>
      </c>
      <c r="B45" s="7">
        <f>4031.45</f>
        <v>4031.45</v>
      </c>
      <c r="C45" s="7">
        <f>4071.83</f>
        <v>4071.83</v>
      </c>
      <c r="D45" s="7">
        <f>3759.72</f>
        <v>3759.72</v>
      </c>
      <c r="E45" s="7">
        <f>0</f>
        <v>0</v>
      </c>
      <c r="F45" s="7">
        <f>E45</f>
        <v>0</v>
      </c>
      <c r="G45" s="7">
        <f>F45</f>
        <v>0</v>
      </c>
      <c r="H45" s="7">
        <f>G45</f>
        <v>0</v>
      </c>
      <c r="I45" s="7">
        <f t="shared" si="15"/>
        <v>0</v>
      </c>
      <c r="J45" s="7">
        <f t="shared" si="15"/>
        <v>0</v>
      </c>
      <c r="K45" s="7">
        <f t="shared" si="15"/>
        <v>0</v>
      </c>
      <c r="L45" s="7">
        <f t="shared" si="15"/>
        <v>0</v>
      </c>
      <c r="M45" s="7">
        <f>L45</f>
        <v>0</v>
      </c>
    </row>
    <row r="46" spans="1:13" x14ac:dyDescent="0.3">
      <c r="A46" s="5" t="s">
        <v>306</v>
      </c>
      <c r="B46" s="7">
        <f>9712.1</f>
        <v>9712.1</v>
      </c>
      <c r="C46" s="7">
        <f>7797.24</f>
        <v>7797.24</v>
      </c>
      <c r="D46" s="7">
        <f>5866.42</f>
        <v>5866.42</v>
      </c>
      <c r="E46" s="7">
        <f>3919.51</f>
        <v>3919.51</v>
      </c>
      <c r="F46" s="7">
        <f>1956.38</f>
        <v>1956.38</v>
      </c>
      <c r="G46" s="7">
        <f>0</f>
        <v>0</v>
      </c>
      <c r="H46" s="7">
        <f>G46</f>
        <v>0</v>
      </c>
      <c r="I46" s="7">
        <f t="shared" si="15"/>
        <v>0</v>
      </c>
      <c r="J46" s="7">
        <f t="shared" si="15"/>
        <v>0</v>
      </c>
      <c r="K46" s="7">
        <f t="shared" si="15"/>
        <v>0</v>
      </c>
      <c r="L46" s="7">
        <f t="shared" si="15"/>
        <v>0</v>
      </c>
      <c r="M46" s="7">
        <f>L46</f>
        <v>0</v>
      </c>
    </row>
    <row r="47" spans="1:13" x14ac:dyDescent="0.3">
      <c r="A47" s="5" t="s">
        <v>305</v>
      </c>
      <c r="B47" s="8">
        <f t="shared" ref="B47:M47" si="16">(B45)+(B46)</f>
        <v>13743.55</v>
      </c>
      <c r="C47" s="8">
        <f t="shared" si="16"/>
        <v>11869.07</v>
      </c>
      <c r="D47" s="8">
        <f t="shared" si="16"/>
        <v>9626.14</v>
      </c>
      <c r="E47" s="8">
        <f t="shared" si="16"/>
        <v>3919.51</v>
      </c>
      <c r="F47" s="8">
        <f t="shared" si="16"/>
        <v>1956.38</v>
      </c>
      <c r="G47" s="8">
        <f t="shared" si="16"/>
        <v>0</v>
      </c>
      <c r="H47" s="8">
        <f t="shared" si="16"/>
        <v>0</v>
      </c>
      <c r="I47" s="8">
        <f t="shared" si="16"/>
        <v>0</v>
      </c>
      <c r="J47" s="8">
        <f t="shared" si="16"/>
        <v>0</v>
      </c>
      <c r="K47" s="8">
        <f t="shared" si="16"/>
        <v>0</v>
      </c>
      <c r="L47" s="8">
        <f t="shared" si="16"/>
        <v>0</v>
      </c>
      <c r="M47" s="8">
        <f t="shared" si="16"/>
        <v>0</v>
      </c>
    </row>
    <row r="48" spans="1:13" x14ac:dyDescent="0.3">
      <c r="A48" s="5" t="s">
        <v>304</v>
      </c>
      <c r="B48" s="7">
        <f>0</f>
        <v>0</v>
      </c>
      <c r="C48" s="7">
        <f>0</f>
        <v>0</v>
      </c>
      <c r="D48" s="7">
        <f>0</f>
        <v>0</v>
      </c>
      <c r="E48" s="7">
        <f>0</f>
        <v>0</v>
      </c>
      <c r="F48" s="7">
        <f>10075.66</f>
        <v>10075.66</v>
      </c>
      <c r="G48" s="7">
        <f>0</f>
        <v>0</v>
      </c>
      <c r="H48" s="7">
        <f>0</f>
        <v>0</v>
      </c>
      <c r="I48" s="7">
        <f>0</f>
        <v>0</v>
      </c>
      <c r="J48" s="7">
        <f>565.88</f>
        <v>565.88</v>
      </c>
      <c r="K48" s="7">
        <f>11995.9</f>
        <v>11995.9</v>
      </c>
      <c r="L48" s="7">
        <f>0</f>
        <v>0</v>
      </c>
      <c r="M48" s="7">
        <f>0</f>
        <v>0</v>
      </c>
    </row>
    <row r="49" spans="1:13" x14ac:dyDescent="0.3">
      <c r="A49" s="5" t="s">
        <v>303</v>
      </c>
      <c r="B49" s="6"/>
      <c r="C49" s="7">
        <f t="shared" ref="C49:M52" si="17">B49</f>
        <v>0</v>
      </c>
      <c r="D49" s="7">
        <f t="shared" si="17"/>
        <v>0</v>
      </c>
      <c r="E49" s="7">
        <f t="shared" si="17"/>
        <v>0</v>
      </c>
      <c r="F49" s="7">
        <f t="shared" si="17"/>
        <v>0</v>
      </c>
      <c r="G49" s="7">
        <f t="shared" si="17"/>
        <v>0</v>
      </c>
      <c r="H49" s="7">
        <f t="shared" si="17"/>
        <v>0</v>
      </c>
      <c r="I49" s="7">
        <f t="shared" si="17"/>
        <v>0</v>
      </c>
      <c r="J49" s="7">
        <f t="shared" si="17"/>
        <v>0</v>
      </c>
      <c r="K49" s="7">
        <f t="shared" si="17"/>
        <v>0</v>
      </c>
      <c r="L49" s="7">
        <f t="shared" si="17"/>
        <v>0</v>
      </c>
      <c r="M49" s="7">
        <f t="shared" si="17"/>
        <v>0</v>
      </c>
    </row>
    <row r="50" spans="1:13" x14ac:dyDescent="0.3">
      <c r="A50" s="5" t="s">
        <v>302</v>
      </c>
      <c r="B50" s="7">
        <f>621.48</f>
        <v>621.48</v>
      </c>
      <c r="C50" s="7">
        <f>421.48</f>
        <v>421.48</v>
      </c>
      <c r="D50" s="7">
        <f t="shared" si="17"/>
        <v>421.48</v>
      </c>
      <c r="E50" s="7">
        <f t="shared" si="17"/>
        <v>421.48</v>
      </c>
      <c r="F50" s="7">
        <f t="shared" si="17"/>
        <v>421.48</v>
      </c>
      <c r="G50" s="7">
        <f>221.48</f>
        <v>221.48</v>
      </c>
      <c r="H50" s="7">
        <f t="shared" si="17"/>
        <v>221.48</v>
      </c>
      <c r="I50" s="7">
        <f t="shared" si="17"/>
        <v>221.48</v>
      </c>
      <c r="J50" s="7">
        <f t="shared" si="17"/>
        <v>221.48</v>
      </c>
      <c r="K50" s="7">
        <f t="shared" si="17"/>
        <v>221.48</v>
      </c>
      <c r="L50" s="7">
        <f t="shared" si="17"/>
        <v>221.48</v>
      </c>
      <c r="M50" s="7">
        <f>0</f>
        <v>0</v>
      </c>
    </row>
    <row r="51" spans="1:13" x14ac:dyDescent="0.3">
      <c r="A51" s="5" t="s">
        <v>301</v>
      </c>
      <c r="B51" s="7">
        <f>55.38</f>
        <v>55.38</v>
      </c>
      <c r="C51" s="7">
        <f>B51</f>
        <v>55.38</v>
      </c>
      <c r="D51" s="7">
        <f t="shared" si="17"/>
        <v>55.38</v>
      </c>
      <c r="E51" s="7">
        <f t="shared" si="17"/>
        <v>55.38</v>
      </c>
      <c r="F51" s="7">
        <f t="shared" si="17"/>
        <v>55.38</v>
      </c>
      <c r="G51" s="7">
        <f>F51</f>
        <v>55.38</v>
      </c>
      <c r="H51" s="7">
        <f t="shared" si="17"/>
        <v>55.38</v>
      </c>
      <c r="I51" s="7">
        <f t="shared" si="17"/>
        <v>55.38</v>
      </c>
      <c r="J51" s="7">
        <f t="shared" si="17"/>
        <v>55.38</v>
      </c>
      <c r="K51" s="7">
        <f t="shared" si="17"/>
        <v>55.38</v>
      </c>
      <c r="L51" s="7">
        <f t="shared" si="17"/>
        <v>55.38</v>
      </c>
      <c r="M51" s="7">
        <f>0</f>
        <v>0</v>
      </c>
    </row>
    <row r="52" spans="1:13" x14ac:dyDescent="0.3">
      <c r="A52" s="5" t="s">
        <v>300</v>
      </c>
      <c r="B52" s="7">
        <f>426.83</f>
        <v>426.83</v>
      </c>
      <c r="C52" s="7">
        <f>B52</f>
        <v>426.83</v>
      </c>
      <c r="D52" s="7">
        <f t="shared" si="17"/>
        <v>426.83</v>
      </c>
      <c r="E52" s="7">
        <f t="shared" si="17"/>
        <v>426.83</v>
      </c>
      <c r="F52" s="7">
        <f t="shared" si="17"/>
        <v>426.83</v>
      </c>
      <c r="G52" s="7">
        <f>F52</f>
        <v>426.83</v>
      </c>
      <c r="H52" s="7">
        <f t="shared" si="17"/>
        <v>426.83</v>
      </c>
      <c r="I52" s="7">
        <f t="shared" si="17"/>
        <v>426.83</v>
      </c>
      <c r="J52" s="7">
        <f t="shared" si="17"/>
        <v>426.83</v>
      </c>
      <c r="K52" s="7">
        <f t="shared" si="17"/>
        <v>426.83</v>
      </c>
      <c r="L52" s="7">
        <f t="shared" si="17"/>
        <v>426.83</v>
      </c>
      <c r="M52" s="7">
        <f>0</f>
        <v>0</v>
      </c>
    </row>
    <row r="53" spans="1:13" x14ac:dyDescent="0.3">
      <c r="A53" s="5" t="s">
        <v>299</v>
      </c>
      <c r="B53" s="8">
        <f t="shared" ref="B53:M53" si="18">(((B49)+(B50))+(B51))+(B52)</f>
        <v>1103.69</v>
      </c>
      <c r="C53" s="8">
        <f t="shared" si="18"/>
        <v>903.69</v>
      </c>
      <c r="D53" s="8">
        <f t="shared" si="18"/>
        <v>903.69</v>
      </c>
      <c r="E53" s="8">
        <f t="shared" si="18"/>
        <v>903.69</v>
      </c>
      <c r="F53" s="8">
        <f t="shared" si="18"/>
        <v>903.69</v>
      </c>
      <c r="G53" s="8">
        <f t="shared" si="18"/>
        <v>703.69</v>
      </c>
      <c r="H53" s="8">
        <f t="shared" si="18"/>
        <v>703.69</v>
      </c>
      <c r="I53" s="8">
        <f t="shared" si="18"/>
        <v>703.69</v>
      </c>
      <c r="J53" s="8">
        <f t="shared" si="18"/>
        <v>703.69</v>
      </c>
      <c r="K53" s="8">
        <f t="shared" si="18"/>
        <v>703.69</v>
      </c>
      <c r="L53" s="8">
        <f t="shared" si="18"/>
        <v>703.69</v>
      </c>
      <c r="M53" s="8">
        <f t="shared" si="18"/>
        <v>0</v>
      </c>
    </row>
    <row r="54" spans="1:13" x14ac:dyDescent="0.3">
      <c r="A54" s="5" t="s">
        <v>298</v>
      </c>
      <c r="B54" s="7">
        <f>623.73</f>
        <v>623.73</v>
      </c>
      <c r="C54" s="7">
        <f>1398.89</f>
        <v>1398.89</v>
      </c>
      <c r="D54" s="7">
        <f>2142.39</f>
        <v>2142.39</v>
      </c>
      <c r="E54" s="7">
        <f>749.62</f>
        <v>749.62</v>
      </c>
      <c r="F54" s="7">
        <f>1986.97</f>
        <v>1986.97</v>
      </c>
      <c r="G54" s="7">
        <f>2735.66</f>
        <v>2735.66</v>
      </c>
      <c r="H54" s="7">
        <f>1391.29</f>
        <v>1391.29</v>
      </c>
      <c r="I54" s="7">
        <f>1979.2</f>
        <v>1979.2</v>
      </c>
      <c r="J54" s="7">
        <f>2912.55</f>
        <v>2912.55</v>
      </c>
      <c r="K54" s="7">
        <f>3832.01</f>
        <v>3832.01</v>
      </c>
      <c r="L54" s="7">
        <f>4725.73</f>
        <v>4725.7299999999996</v>
      </c>
      <c r="M54" s="7">
        <f>L54</f>
        <v>4725.7299999999996</v>
      </c>
    </row>
    <row r="55" spans="1:13" x14ac:dyDescent="0.3">
      <c r="A55" s="5" t="s">
        <v>297</v>
      </c>
      <c r="B55" s="8">
        <f t="shared" ref="B55:M55" si="19">(((((((B41)+(B42))+(B43))+(B44))+(B47))+(B48))+(B53))+(B54)</f>
        <v>85914.27</v>
      </c>
      <c r="C55" s="8">
        <f t="shared" si="19"/>
        <v>82153.289999999994</v>
      </c>
      <c r="D55" s="8">
        <f t="shared" si="19"/>
        <v>76330.39</v>
      </c>
      <c r="E55" s="8">
        <f t="shared" si="19"/>
        <v>64857.090000000011</v>
      </c>
      <c r="F55" s="8">
        <f t="shared" si="19"/>
        <v>69782.040000000008</v>
      </c>
      <c r="G55" s="8">
        <f t="shared" si="19"/>
        <v>53822.14</v>
      </c>
      <c r="H55" s="8">
        <f t="shared" si="19"/>
        <v>47964.3</v>
      </c>
      <c r="I55" s="8">
        <f t="shared" si="19"/>
        <v>44465.98</v>
      </c>
      <c r="J55" s="8">
        <f t="shared" si="19"/>
        <v>41844.400000000001</v>
      </c>
      <c r="K55" s="8">
        <f t="shared" si="19"/>
        <v>52675.790000000008</v>
      </c>
      <c r="L55" s="8">
        <f t="shared" si="19"/>
        <v>39879.650000000009</v>
      </c>
      <c r="M55" s="8">
        <f t="shared" si="19"/>
        <v>37152.04</v>
      </c>
    </row>
    <row r="56" spans="1:13" x14ac:dyDescent="0.3">
      <c r="A56" s="5" t="s">
        <v>296</v>
      </c>
      <c r="B56" s="8">
        <f t="shared" ref="B56:M56" si="20">((B29)+(B39))+(B55)</f>
        <v>116296.67000000001</v>
      </c>
      <c r="C56" s="8">
        <f t="shared" si="20"/>
        <v>111991.79999999999</v>
      </c>
      <c r="D56" s="8">
        <f t="shared" si="20"/>
        <v>104262.29000000001</v>
      </c>
      <c r="E56" s="8">
        <f t="shared" si="20"/>
        <v>95256.430000000008</v>
      </c>
      <c r="F56" s="8">
        <f t="shared" si="20"/>
        <v>98356.27</v>
      </c>
      <c r="G56" s="8">
        <f t="shared" si="20"/>
        <v>74702</v>
      </c>
      <c r="H56" s="8">
        <f t="shared" si="20"/>
        <v>65155.39</v>
      </c>
      <c r="I56" s="8">
        <f t="shared" si="20"/>
        <v>62095.450000000004</v>
      </c>
      <c r="J56" s="8">
        <f t="shared" si="20"/>
        <v>59241.17</v>
      </c>
      <c r="K56" s="8">
        <f t="shared" si="20"/>
        <v>70946.320000000007</v>
      </c>
      <c r="L56" s="8">
        <f t="shared" si="20"/>
        <v>60790.430000000008</v>
      </c>
      <c r="M56" s="8">
        <f t="shared" si="20"/>
        <v>58126.25</v>
      </c>
    </row>
    <row r="57" spans="1:13" x14ac:dyDescent="0.3">
      <c r="A57" s="5" t="s">
        <v>295</v>
      </c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</row>
    <row r="58" spans="1:13" x14ac:dyDescent="0.3">
      <c r="A58" s="5" t="s">
        <v>294</v>
      </c>
      <c r="B58" s="6"/>
      <c r="C58" s="7">
        <f t="shared" ref="C58:M60" si="21">B58</f>
        <v>0</v>
      </c>
      <c r="D58" s="7">
        <f t="shared" si="21"/>
        <v>0</v>
      </c>
      <c r="E58" s="7">
        <f t="shared" si="21"/>
        <v>0</v>
      </c>
      <c r="F58" s="7">
        <f t="shared" si="21"/>
        <v>0</v>
      </c>
      <c r="G58" s="7">
        <f t="shared" si="21"/>
        <v>0</v>
      </c>
      <c r="H58" s="7">
        <f t="shared" si="21"/>
        <v>0</v>
      </c>
      <c r="I58" s="7">
        <f t="shared" si="21"/>
        <v>0</v>
      </c>
      <c r="J58" s="7">
        <f t="shared" si="21"/>
        <v>0</v>
      </c>
      <c r="K58" s="7">
        <f t="shared" si="21"/>
        <v>0</v>
      </c>
      <c r="L58" s="7">
        <f t="shared" si="21"/>
        <v>0</v>
      </c>
      <c r="M58" s="7">
        <f t="shared" si="21"/>
        <v>0</v>
      </c>
    </row>
    <row r="59" spans="1:13" x14ac:dyDescent="0.3">
      <c r="A59" s="5" t="s">
        <v>293</v>
      </c>
      <c r="B59" s="7">
        <f>53000</f>
        <v>53000</v>
      </c>
      <c r="C59" s="7">
        <f t="shared" si="21"/>
        <v>53000</v>
      </c>
      <c r="D59" s="7">
        <f t="shared" si="21"/>
        <v>53000</v>
      </c>
      <c r="E59" s="7">
        <f t="shared" si="21"/>
        <v>53000</v>
      </c>
      <c r="F59" s="7">
        <f>0</f>
        <v>0</v>
      </c>
      <c r="G59" s="7">
        <f t="shared" si="21"/>
        <v>0</v>
      </c>
      <c r="H59" s="7">
        <f t="shared" si="21"/>
        <v>0</v>
      </c>
      <c r="I59" s="7">
        <f t="shared" si="21"/>
        <v>0</v>
      </c>
      <c r="J59" s="7">
        <f t="shared" si="21"/>
        <v>0</v>
      </c>
      <c r="K59" s="7">
        <f t="shared" si="21"/>
        <v>0</v>
      </c>
      <c r="L59" s="7">
        <f t="shared" si="21"/>
        <v>0</v>
      </c>
      <c r="M59" s="7">
        <f t="shared" si="21"/>
        <v>0</v>
      </c>
    </row>
    <row r="60" spans="1:13" x14ac:dyDescent="0.3">
      <c r="A60" s="5" t="s">
        <v>292</v>
      </c>
      <c r="B60" s="7">
        <f>3315.07</f>
        <v>3315.07</v>
      </c>
      <c r="C60" s="7">
        <f t="shared" si="21"/>
        <v>3315.07</v>
      </c>
      <c r="D60" s="7">
        <f t="shared" si="21"/>
        <v>3315.07</v>
      </c>
      <c r="E60" s="7">
        <f t="shared" si="21"/>
        <v>3315.07</v>
      </c>
      <c r="F60" s="7">
        <f>0</f>
        <v>0</v>
      </c>
      <c r="G60" s="7">
        <f t="shared" si="21"/>
        <v>0</v>
      </c>
      <c r="H60" s="7">
        <f t="shared" si="21"/>
        <v>0</v>
      </c>
      <c r="I60" s="7">
        <f t="shared" si="21"/>
        <v>0</v>
      </c>
      <c r="J60" s="7">
        <f t="shared" si="21"/>
        <v>0</v>
      </c>
      <c r="K60" s="7">
        <f t="shared" si="21"/>
        <v>0</v>
      </c>
      <c r="L60" s="7">
        <f t="shared" si="21"/>
        <v>0</v>
      </c>
      <c r="M60" s="7">
        <f t="shared" si="21"/>
        <v>0</v>
      </c>
    </row>
    <row r="61" spans="1:13" x14ac:dyDescent="0.3">
      <c r="A61" s="5" t="s">
        <v>291</v>
      </c>
      <c r="B61" s="8">
        <f t="shared" ref="B61:M61" si="22">(B59)+(B60)</f>
        <v>56315.07</v>
      </c>
      <c r="C61" s="8">
        <f t="shared" si="22"/>
        <v>56315.07</v>
      </c>
      <c r="D61" s="8">
        <f t="shared" si="22"/>
        <v>56315.07</v>
      </c>
      <c r="E61" s="8">
        <f t="shared" si="22"/>
        <v>56315.07</v>
      </c>
      <c r="F61" s="8">
        <f t="shared" si="22"/>
        <v>0</v>
      </c>
      <c r="G61" s="8">
        <f t="shared" si="22"/>
        <v>0</v>
      </c>
      <c r="H61" s="8">
        <f t="shared" si="22"/>
        <v>0</v>
      </c>
      <c r="I61" s="8">
        <f t="shared" si="22"/>
        <v>0</v>
      </c>
      <c r="J61" s="8">
        <f t="shared" si="22"/>
        <v>0</v>
      </c>
      <c r="K61" s="8">
        <f t="shared" si="22"/>
        <v>0</v>
      </c>
      <c r="L61" s="8">
        <f t="shared" si="22"/>
        <v>0</v>
      </c>
      <c r="M61" s="8">
        <f t="shared" si="22"/>
        <v>0</v>
      </c>
    </row>
    <row r="62" spans="1:13" x14ac:dyDescent="0.3">
      <c r="A62" s="5" t="s">
        <v>290</v>
      </c>
      <c r="B62" s="7">
        <f>70000</f>
        <v>70000</v>
      </c>
      <c r="C62" s="7">
        <f t="shared" ref="C62:G63" si="23">B62</f>
        <v>70000</v>
      </c>
      <c r="D62" s="7">
        <f t="shared" si="23"/>
        <v>70000</v>
      </c>
      <c r="E62" s="7">
        <f t="shared" si="23"/>
        <v>70000</v>
      </c>
      <c r="F62" s="7">
        <f t="shared" si="23"/>
        <v>70000</v>
      </c>
      <c r="G62" s="7">
        <f t="shared" si="23"/>
        <v>70000</v>
      </c>
      <c r="H62" s="7">
        <f>0</f>
        <v>0</v>
      </c>
      <c r="I62" s="7">
        <f t="shared" ref="I62:M63" si="24">H62</f>
        <v>0</v>
      </c>
      <c r="J62" s="7">
        <f t="shared" si="24"/>
        <v>0</v>
      </c>
      <c r="K62" s="7">
        <f t="shared" si="24"/>
        <v>0</v>
      </c>
      <c r="L62" s="7">
        <f t="shared" si="24"/>
        <v>0</v>
      </c>
      <c r="M62" s="7">
        <f t="shared" si="24"/>
        <v>0</v>
      </c>
    </row>
    <row r="63" spans="1:13" x14ac:dyDescent="0.3">
      <c r="A63" s="5" t="s">
        <v>289</v>
      </c>
      <c r="B63" s="7">
        <f>3649.32</f>
        <v>3649.32</v>
      </c>
      <c r="C63" s="7">
        <f t="shared" si="23"/>
        <v>3649.32</v>
      </c>
      <c r="D63" s="7">
        <f t="shared" si="23"/>
        <v>3649.32</v>
      </c>
      <c r="E63" s="7">
        <f t="shared" si="23"/>
        <v>3649.32</v>
      </c>
      <c r="F63" s="7">
        <f t="shared" si="23"/>
        <v>3649.32</v>
      </c>
      <c r="G63" s="7">
        <f t="shared" si="23"/>
        <v>3649.32</v>
      </c>
      <c r="H63" s="7">
        <f>0</f>
        <v>0</v>
      </c>
      <c r="I63" s="7">
        <f t="shared" si="24"/>
        <v>0</v>
      </c>
      <c r="J63" s="7">
        <f t="shared" si="24"/>
        <v>0</v>
      </c>
      <c r="K63" s="7">
        <f t="shared" si="24"/>
        <v>0</v>
      </c>
      <c r="L63" s="7">
        <f t="shared" si="24"/>
        <v>0</v>
      </c>
      <c r="M63" s="7">
        <f t="shared" si="24"/>
        <v>0</v>
      </c>
    </row>
    <row r="64" spans="1:13" x14ac:dyDescent="0.3">
      <c r="A64" s="5" t="s">
        <v>288</v>
      </c>
      <c r="B64" s="8">
        <f t="shared" ref="B64:M64" si="25">(B62)+(B63)</f>
        <v>73649.320000000007</v>
      </c>
      <c r="C64" s="8">
        <f t="shared" si="25"/>
        <v>73649.320000000007</v>
      </c>
      <c r="D64" s="8">
        <f t="shared" si="25"/>
        <v>73649.320000000007</v>
      </c>
      <c r="E64" s="8">
        <f t="shared" si="25"/>
        <v>73649.320000000007</v>
      </c>
      <c r="F64" s="8">
        <f t="shared" si="25"/>
        <v>73649.320000000007</v>
      </c>
      <c r="G64" s="8">
        <f t="shared" si="25"/>
        <v>73649.320000000007</v>
      </c>
      <c r="H64" s="8">
        <f t="shared" si="25"/>
        <v>0</v>
      </c>
      <c r="I64" s="8">
        <f t="shared" si="25"/>
        <v>0</v>
      </c>
      <c r="J64" s="8">
        <f t="shared" si="25"/>
        <v>0</v>
      </c>
      <c r="K64" s="8">
        <f t="shared" si="25"/>
        <v>0</v>
      </c>
      <c r="L64" s="8">
        <f t="shared" si="25"/>
        <v>0</v>
      </c>
      <c r="M64" s="8">
        <f t="shared" si="25"/>
        <v>0</v>
      </c>
    </row>
    <row r="65" spans="1:13" x14ac:dyDescent="0.3">
      <c r="A65" s="5" t="s">
        <v>287</v>
      </c>
      <c r="B65" s="6"/>
      <c r="C65" s="7">
        <f>B65</f>
        <v>0</v>
      </c>
      <c r="D65" s="7">
        <f>5000</f>
        <v>5000</v>
      </c>
      <c r="E65" s="7">
        <f>112500</f>
        <v>112500</v>
      </c>
      <c r="F65" s="7">
        <f>115000</f>
        <v>115000</v>
      </c>
      <c r="G65" s="7">
        <f>128000</f>
        <v>128000</v>
      </c>
      <c r="H65" s="7">
        <f>G65</f>
        <v>128000</v>
      </c>
      <c r="I65" s="7">
        <f>146000</f>
        <v>146000</v>
      </c>
      <c r="J65" s="7">
        <f>I65</f>
        <v>146000</v>
      </c>
      <c r="K65" s="7">
        <f>J65</f>
        <v>146000</v>
      </c>
      <c r="L65" s="7">
        <f>K65</f>
        <v>146000</v>
      </c>
      <c r="M65" s="7">
        <f>158000</f>
        <v>158000</v>
      </c>
    </row>
    <row r="66" spans="1:13" x14ac:dyDescent="0.3">
      <c r="A66" s="5" t="s">
        <v>284</v>
      </c>
      <c r="B66" s="8">
        <f t="shared" ref="B66:M66" si="26">(((B58)+(B61))+(B64))+(B65)</f>
        <v>129964.39000000001</v>
      </c>
      <c r="C66" s="8">
        <f t="shared" si="26"/>
        <v>129964.39000000001</v>
      </c>
      <c r="D66" s="8">
        <f t="shared" si="26"/>
        <v>134964.39000000001</v>
      </c>
      <c r="E66" s="8">
        <f t="shared" si="26"/>
        <v>242464.39</v>
      </c>
      <c r="F66" s="8">
        <f t="shared" si="26"/>
        <v>188649.32</v>
      </c>
      <c r="G66" s="8">
        <f t="shared" si="26"/>
        <v>201649.32</v>
      </c>
      <c r="H66" s="8">
        <f t="shared" si="26"/>
        <v>128000</v>
      </c>
      <c r="I66" s="8">
        <f t="shared" si="26"/>
        <v>146000</v>
      </c>
      <c r="J66" s="8">
        <f t="shared" si="26"/>
        <v>146000</v>
      </c>
      <c r="K66" s="8">
        <f t="shared" si="26"/>
        <v>146000</v>
      </c>
      <c r="L66" s="8">
        <f t="shared" si="26"/>
        <v>146000</v>
      </c>
      <c r="M66" s="8">
        <f t="shared" si="26"/>
        <v>158000</v>
      </c>
    </row>
    <row r="67" spans="1:13" x14ac:dyDescent="0.3">
      <c r="A67" s="5" t="s">
        <v>283</v>
      </c>
      <c r="B67" s="8">
        <f t="shared" ref="B67:M67" si="27">B66</f>
        <v>129964.39000000001</v>
      </c>
      <c r="C67" s="8">
        <f t="shared" si="27"/>
        <v>129964.39000000001</v>
      </c>
      <c r="D67" s="8">
        <f t="shared" si="27"/>
        <v>134964.39000000001</v>
      </c>
      <c r="E67" s="8">
        <f t="shared" si="27"/>
        <v>242464.39</v>
      </c>
      <c r="F67" s="8">
        <f t="shared" si="27"/>
        <v>188649.32</v>
      </c>
      <c r="G67" s="8">
        <f t="shared" si="27"/>
        <v>201649.32</v>
      </c>
      <c r="H67" s="8">
        <f t="shared" si="27"/>
        <v>128000</v>
      </c>
      <c r="I67" s="8">
        <f t="shared" si="27"/>
        <v>146000</v>
      </c>
      <c r="J67" s="8">
        <f t="shared" si="27"/>
        <v>146000</v>
      </c>
      <c r="K67" s="8">
        <f t="shared" si="27"/>
        <v>146000</v>
      </c>
      <c r="L67" s="8">
        <f t="shared" si="27"/>
        <v>146000</v>
      </c>
      <c r="M67" s="8">
        <f t="shared" si="27"/>
        <v>158000</v>
      </c>
    </row>
    <row r="68" spans="1:13" x14ac:dyDescent="0.3">
      <c r="A68" s="5" t="s">
        <v>282</v>
      </c>
      <c r="B68" s="8">
        <f t="shared" ref="B68:M68" si="28">(B56)+(B67)</f>
        <v>246261.06000000003</v>
      </c>
      <c r="C68" s="8">
        <f t="shared" si="28"/>
        <v>241956.19</v>
      </c>
      <c r="D68" s="8">
        <f t="shared" si="28"/>
        <v>239226.68000000002</v>
      </c>
      <c r="E68" s="8">
        <f t="shared" si="28"/>
        <v>337720.82</v>
      </c>
      <c r="F68" s="8">
        <f t="shared" si="28"/>
        <v>287005.59000000003</v>
      </c>
      <c r="G68" s="8">
        <f t="shared" si="28"/>
        <v>276351.32</v>
      </c>
      <c r="H68" s="8">
        <f t="shared" si="28"/>
        <v>193155.39</v>
      </c>
      <c r="I68" s="8">
        <f t="shared" si="28"/>
        <v>208095.45</v>
      </c>
      <c r="J68" s="8">
        <f t="shared" si="28"/>
        <v>205241.16999999998</v>
      </c>
      <c r="K68" s="8">
        <f t="shared" si="28"/>
        <v>216946.32</v>
      </c>
      <c r="L68" s="8">
        <f t="shared" si="28"/>
        <v>206790.43</v>
      </c>
      <c r="M68" s="8">
        <f t="shared" si="28"/>
        <v>216126.25</v>
      </c>
    </row>
    <row r="69" spans="1:13" x14ac:dyDescent="0.3">
      <c r="A69" s="5" t="s">
        <v>281</v>
      </c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</row>
    <row r="70" spans="1:13" x14ac:dyDescent="0.3">
      <c r="A70" s="5" t="s">
        <v>280</v>
      </c>
      <c r="B70" s="7">
        <f>2500</f>
        <v>2500</v>
      </c>
      <c r="C70" s="7">
        <f t="shared" ref="C70:M74" si="29">B70</f>
        <v>2500</v>
      </c>
      <c r="D70" s="7">
        <f t="shared" si="29"/>
        <v>2500</v>
      </c>
      <c r="E70" s="7">
        <f t="shared" si="29"/>
        <v>2500</v>
      </c>
      <c r="F70" s="7">
        <f t="shared" si="29"/>
        <v>2500</v>
      </c>
      <c r="G70" s="7">
        <f t="shared" si="29"/>
        <v>2500</v>
      </c>
      <c r="H70" s="7">
        <f t="shared" si="29"/>
        <v>2500</v>
      </c>
      <c r="I70" s="7">
        <f t="shared" si="29"/>
        <v>2500</v>
      </c>
      <c r="J70" s="7">
        <f t="shared" si="29"/>
        <v>2500</v>
      </c>
      <c r="K70" s="7">
        <f t="shared" si="29"/>
        <v>2500</v>
      </c>
      <c r="L70" s="7">
        <f t="shared" si="29"/>
        <v>2500</v>
      </c>
      <c r="M70" s="7">
        <f t="shared" si="29"/>
        <v>2500</v>
      </c>
    </row>
    <row r="71" spans="1:13" x14ac:dyDescent="0.3">
      <c r="A71" s="5" t="s">
        <v>279</v>
      </c>
      <c r="B71" s="6"/>
      <c r="C71" s="7">
        <f t="shared" si="29"/>
        <v>0</v>
      </c>
      <c r="D71" s="7">
        <f t="shared" si="29"/>
        <v>0</v>
      </c>
      <c r="E71" s="7">
        <f t="shared" si="29"/>
        <v>0</v>
      </c>
      <c r="F71" s="7">
        <f t="shared" si="29"/>
        <v>0</v>
      </c>
      <c r="G71" s="7">
        <f t="shared" si="29"/>
        <v>0</v>
      </c>
      <c r="H71" s="7">
        <f t="shared" si="29"/>
        <v>0</v>
      </c>
      <c r="I71" s="7">
        <f t="shared" si="29"/>
        <v>0</v>
      </c>
      <c r="J71" s="7">
        <f t="shared" si="29"/>
        <v>0</v>
      </c>
      <c r="K71" s="7">
        <f t="shared" si="29"/>
        <v>0</v>
      </c>
      <c r="L71" s="7">
        <f t="shared" si="29"/>
        <v>0</v>
      </c>
      <c r="M71" s="7">
        <f t="shared" si="29"/>
        <v>0</v>
      </c>
    </row>
    <row r="72" spans="1:13" x14ac:dyDescent="0.3">
      <c r="A72" s="5" t="s">
        <v>278</v>
      </c>
      <c r="B72" s="6"/>
      <c r="C72" s="7">
        <f t="shared" si="29"/>
        <v>0</v>
      </c>
      <c r="D72" s="7">
        <f t="shared" si="29"/>
        <v>0</v>
      </c>
      <c r="E72" s="7">
        <f t="shared" si="29"/>
        <v>0</v>
      </c>
      <c r="F72" s="7">
        <f t="shared" si="29"/>
        <v>0</v>
      </c>
      <c r="G72" s="7">
        <f t="shared" si="29"/>
        <v>0</v>
      </c>
      <c r="H72" s="7">
        <f t="shared" si="29"/>
        <v>0</v>
      </c>
      <c r="I72" s="7">
        <f t="shared" si="29"/>
        <v>0</v>
      </c>
      <c r="J72" s="7">
        <f t="shared" si="29"/>
        <v>0</v>
      </c>
      <c r="K72" s="7">
        <f t="shared" si="29"/>
        <v>0</v>
      </c>
      <c r="L72" s="7">
        <f t="shared" si="29"/>
        <v>0</v>
      </c>
      <c r="M72" s="7">
        <f t="shared" si="29"/>
        <v>0</v>
      </c>
    </row>
    <row r="73" spans="1:13" x14ac:dyDescent="0.3">
      <c r="A73" s="5" t="s">
        <v>277</v>
      </c>
      <c r="B73" s="7">
        <f>0</f>
        <v>0</v>
      </c>
      <c r="C73" s="7">
        <f t="shared" si="29"/>
        <v>0</v>
      </c>
      <c r="D73" s="7">
        <f t="shared" si="29"/>
        <v>0</v>
      </c>
      <c r="E73" s="7">
        <f t="shared" si="29"/>
        <v>0</v>
      </c>
      <c r="F73" s="7">
        <f t="shared" si="29"/>
        <v>0</v>
      </c>
      <c r="G73" s="7">
        <f t="shared" si="29"/>
        <v>0</v>
      </c>
      <c r="H73" s="7">
        <f t="shared" si="29"/>
        <v>0</v>
      </c>
      <c r="I73" s="7">
        <f t="shared" si="29"/>
        <v>0</v>
      </c>
      <c r="J73" s="7">
        <f t="shared" si="29"/>
        <v>0</v>
      </c>
      <c r="K73" s="7">
        <f t="shared" si="29"/>
        <v>0</v>
      </c>
      <c r="L73" s="7">
        <f t="shared" si="29"/>
        <v>0</v>
      </c>
      <c r="M73" s="7">
        <f t="shared" si="29"/>
        <v>0</v>
      </c>
    </row>
    <row r="74" spans="1:13" x14ac:dyDescent="0.3">
      <c r="A74" s="5" t="s">
        <v>276</v>
      </c>
      <c r="B74" s="7">
        <f>625.04</f>
        <v>625.04</v>
      </c>
      <c r="C74" s="7">
        <f t="shared" si="29"/>
        <v>625.04</v>
      </c>
      <c r="D74" s="7">
        <f t="shared" si="29"/>
        <v>625.04</v>
      </c>
      <c r="E74" s="7">
        <f t="shared" si="29"/>
        <v>625.04</v>
      </c>
      <c r="F74" s="7">
        <f t="shared" si="29"/>
        <v>625.04</v>
      </c>
      <c r="G74" s="7">
        <f t="shared" si="29"/>
        <v>625.04</v>
      </c>
      <c r="H74" s="7">
        <f t="shared" si="29"/>
        <v>625.04</v>
      </c>
      <c r="I74" s="7">
        <f t="shared" si="29"/>
        <v>625.04</v>
      </c>
      <c r="J74" s="7">
        <f>623.11</f>
        <v>623.11</v>
      </c>
      <c r="K74" s="7">
        <f>J74</f>
        <v>623.11</v>
      </c>
      <c r="L74" s="7">
        <f>K74</f>
        <v>623.11</v>
      </c>
      <c r="M74" s="7">
        <f>L74</f>
        <v>623.11</v>
      </c>
    </row>
    <row r="75" spans="1:13" x14ac:dyDescent="0.3">
      <c r="A75" s="5" t="s">
        <v>275</v>
      </c>
      <c r="B75" s="8">
        <f t="shared" ref="B75:M75" si="30">((B72)+(B73))+(B74)</f>
        <v>625.04</v>
      </c>
      <c r="C75" s="8">
        <f t="shared" si="30"/>
        <v>625.04</v>
      </c>
      <c r="D75" s="8">
        <f t="shared" si="30"/>
        <v>625.04</v>
      </c>
      <c r="E75" s="8">
        <f t="shared" si="30"/>
        <v>625.04</v>
      </c>
      <c r="F75" s="8">
        <f t="shared" si="30"/>
        <v>625.04</v>
      </c>
      <c r="G75" s="8">
        <f t="shared" si="30"/>
        <v>625.04</v>
      </c>
      <c r="H75" s="8">
        <f t="shared" si="30"/>
        <v>625.04</v>
      </c>
      <c r="I75" s="8">
        <f t="shared" si="30"/>
        <v>625.04</v>
      </c>
      <c r="J75" s="8">
        <f t="shared" si="30"/>
        <v>623.11</v>
      </c>
      <c r="K75" s="8">
        <f t="shared" si="30"/>
        <v>623.11</v>
      </c>
      <c r="L75" s="8">
        <f t="shared" si="30"/>
        <v>623.11</v>
      </c>
      <c r="M75" s="8">
        <f t="shared" si="30"/>
        <v>623.11</v>
      </c>
    </row>
    <row r="76" spans="1:13" x14ac:dyDescent="0.3">
      <c r="A76" s="5" t="s">
        <v>274</v>
      </c>
      <c r="B76" s="6"/>
      <c r="C76" s="7">
        <f t="shared" ref="C76:M77" si="31">B76</f>
        <v>0</v>
      </c>
      <c r="D76" s="7">
        <f t="shared" si="31"/>
        <v>0</v>
      </c>
      <c r="E76" s="7">
        <f t="shared" si="31"/>
        <v>0</v>
      </c>
      <c r="F76" s="7">
        <f t="shared" si="31"/>
        <v>0</v>
      </c>
      <c r="G76" s="7">
        <f t="shared" si="31"/>
        <v>0</v>
      </c>
      <c r="H76" s="7">
        <f t="shared" si="31"/>
        <v>0</v>
      </c>
      <c r="I76" s="7">
        <f t="shared" si="31"/>
        <v>0</v>
      </c>
      <c r="J76" s="7">
        <f t="shared" si="31"/>
        <v>0</v>
      </c>
      <c r="K76" s="7">
        <f t="shared" si="31"/>
        <v>0</v>
      </c>
      <c r="L76" s="7">
        <f t="shared" si="31"/>
        <v>0</v>
      </c>
      <c r="M76" s="7">
        <f t="shared" si="31"/>
        <v>0</v>
      </c>
    </row>
    <row r="77" spans="1:13" x14ac:dyDescent="0.3">
      <c r="A77" s="5" t="s">
        <v>273</v>
      </c>
      <c r="B77" s="7">
        <f>0</f>
        <v>0</v>
      </c>
      <c r="C77" s="7">
        <f t="shared" si="31"/>
        <v>0</v>
      </c>
      <c r="D77" s="7">
        <f t="shared" si="31"/>
        <v>0</v>
      </c>
      <c r="E77" s="7">
        <f t="shared" si="31"/>
        <v>0</v>
      </c>
      <c r="F77" s="7">
        <f t="shared" si="31"/>
        <v>0</v>
      </c>
      <c r="G77" s="7">
        <f t="shared" si="31"/>
        <v>0</v>
      </c>
      <c r="H77" s="7">
        <f t="shared" si="31"/>
        <v>0</v>
      </c>
      <c r="I77" s="7">
        <f t="shared" si="31"/>
        <v>0</v>
      </c>
      <c r="J77" s="7">
        <f t="shared" si="31"/>
        <v>0</v>
      </c>
      <c r="K77" s="7">
        <f t="shared" si="31"/>
        <v>0</v>
      </c>
      <c r="L77" s="7">
        <f t="shared" si="31"/>
        <v>0</v>
      </c>
      <c r="M77" s="7">
        <f t="shared" si="31"/>
        <v>0</v>
      </c>
    </row>
    <row r="78" spans="1:13" x14ac:dyDescent="0.3">
      <c r="A78" s="5" t="s">
        <v>272</v>
      </c>
      <c r="B78" s="8">
        <f t="shared" ref="B78:M78" si="32">(B76)+(B77)</f>
        <v>0</v>
      </c>
      <c r="C78" s="8">
        <f t="shared" si="32"/>
        <v>0</v>
      </c>
      <c r="D78" s="8">
        <f t="shared" si="32"/>
        <v>0</v>
      </c>
      <c r="E78" s="8">
        <f t="shared" si="32"/>
        <v>0</v>
      </c>
      <c r="F78" s="8">
        <f t="shared" si="32"/>
        <v>0</v>
      </c>
      <c r="G78" s="8">
        <f t="shared" si="32"/>
        <v>0</v>
      </c>
      <c r="H78" s="8">
        <f t="shared" si="32"/>
        <v>0</v>
      </c>
      <c r="I78" s="8">
        <f t="shared" si="32"/>
        <v>0</v>
      </c>
      <c r="J78" s="8">
        <f t="shared" si="32"/>
        <v>0</v>
      </c>
      <c r="K78" s="8">
        <f t="shared" si="32"/>
        <v>0</v>
      </c>
      <c r="L78" s="8">
        <f t="shared" si="32"/>
        <v>0</v>
      </c>
      <c r="M78" s="8">
        <f t="shared" si="32"/>
        <v>0</v>
      </c>
    </row>
    <row r="79" spans="1:13" x14ac:dyDescent="0.3">
      <c r="A79" s="5" t="s">
        <v>271</v>
      </c>
      <c r="B79" s="8">
        <f t="shared" ref="B79:M79" si="33">((B71)+(B75))+(B78)</f>
        <v>625.04</v>
      </c>
      <c r="C79" s="8">
        <f t="shared" si="33"/>
        <v>625.04</v>
      </c>
      <c r="D79" s="8">
        <f t="shared" si="33"/>
        <v>625.04</v>
      </c>
      <c r="E79" s="8">
        <f t="shared" si="33"/>
        <v>625.04</v>
      </c>
      <c r="F79" s="8">
        <f t="shared" si="33"/>
        <v>625.04</v>
      </c>
      <c r="G79" s="8">
        <f t="shared" si="33"/>
        <v>625.04</v>
      </c>
      <c r="H79" s="8">
        <f t="shared" si="33"/>
        <v>625.04</v>
      </c>
      <c r="I79" s="8">
        <f t="shared" si="33"/>
        <v>625.04</v>
      </c>
      <c r="J79" s="8">
        <f t="shared" si="33"/>
        <v>623.11</v>
      </c>
      <c r="K79" s="8">
        <f t="shared" si="33"/>
        <v>623.11</v>
      </c>
      <c r="L79" s="8">
        <f t="shared" si="33"/>
        <v>623.11</v>
      </c>
      <c r="M79" s="8">
        <f t="shared" si="33"/>
        <v>623.11</v>
      </c>
    </row>
    <row r="80" spans="1:13" x14ac:dyDescent="0.3">
      <c r="A80" s="5" t="s">
        <v>270</v>
      </c>
      <c r="B80" s="7">
        <f>-131329.07</f>
        <v>-131329.07</v>
      </c>
      <c r="C80" s="7">
        <f t="shared" ref="C80:M82" si="34">B80</f>
        <v>-131329.07</v>
      </c>
      <c r="D80" s="7">
        <f t="shared" si="34"/>
        <v>-131329.07</v>
      </c>
      <c r="E80" s="7">
        <f t="shared" si="34"/>
        <v>-131329.07</v>
      </c>
      <c r="F80" s="7">
        <f t="shared" si="34"/>
        <v>-131329.07</v>
      </c>
      <c r="G80" s="7">
        <f t="shared" si="34"/>
        <v>-131329.07</v>
      </c>
      <c r="H80" s="7">
        <f t="shared" si="34"/>
        <v>-131329.07</v>
      </c>
      <c r="I80" s="7">
        <f t="shared" si="34"/>
        <v>-131329.07</v>
      </c>
      <c r="J80" s="7">
        <f t="shared" si="34"/>
        <v>-131329.07</v>
      </c>
      <c r="K80" s="7">
        <f t="shared" si="34"/>
        <v>-131329.07</v>
      </c>
      <c r="L80" s="7">
        <f t="shared" si="34"/>
        <v>-131329.07</v>
      </c>
      <c r="M80" s="7">
        <f t="shared" si="34"/>
        <v>-131329.07</v>
      </c>
    </row>
    <row r="81" spans="1:13" x14ac:dyDescent="0.3">
      <c r="A81" s="5" t="s">
        <v>269</v>
      </c>
      <c r="B81" s="6"/>
      <c r="C81" s="7">
        <f t="shared" si="34"/>
        <v>0</v>
      </c>
      <c r="D81" s="7">
        <f t="shared" si="34"/>
        <v>0</v>
      </c>
      <c r="E81" s="7">
        <f t="shared" si="34"/>
        <v>0</v>
      </c>
      <c r="F81" s="7">
        <f>56315.07</f>
        <v>56315.07</v>
      </c>
      <c r="G81" s="7">
        <f t="shared" si="34"/>
        <v>56315.07</v>
      </c>
      <c r="H81" s="7">
        <f t="shared" si="34"/>
        <v>56315.07</v>
      </c>
      <c r="I81" s="7">
        <f t="shared" si="34"/>
        <v>56315.07</v>
      </c>
      <c r="J81" s="7">
        <f t="shared" si="34"/>
        <v>56315.07</v>
      </c>
      <c r="K81" s="7">
        <f t="shared" si="34"/>
        <v>56315.07</v>
      </c>
      <c r="L81" s="7">
        <f t="shared" si="34"/>
        <v>56315.07</v>
      </c>
      <c r="M81" s="7">
        <f t="shared" si="34"/>
        <v>56315.07</v>
      </c>
    </row>
    <row r="82" spans="1:13" x14ac:dyDescent="0.3">
      <c r="A82" s="5" t="s">
        <v>268</v>
      </c>
      <c r="B82" s="6"/>
      <c r="C82" s="7">
        <f t="shared" si="34"/>
        <v>0</v>
      </c>
      <c r="D82" s="7">
        <f t="shared" si="34"/>
        <v>0</v>
      </c>
      <c r="E82" s="7">
        <f t="shared" si="34"/>
        <v>0</v>
      </c>
      <c r="F82" s="7">
        <f>E82</f>
        <v>0</v>
      </c>
      <c r="G82" s="7">
        <f>F82</f>
        <v>0</v>
      </c>
      <c r="H82" s="7">
        <f>73649.32</f>
        <v>73649.320000000007</v>
      </c>
      <c r="I82" s="7">
        <f>H82</f>
        <v>73649.320000000007</v>
      </c>
      <c r="J82" s="7">
        <f>I82</f>
        <v>73649.320000000007</v>
      </c>
      <c r="K82" s="7">
        <f>J82</f>
        <v>73649.320000000007</v>
      </c>
      <c r="L82" s="7">
        <f>K82</f>
        <v>73649.320000000007</v>
      </c>
      <c r="M82" s="7">
        <f>L82</f>
        <v>73649.320000000007</v>
      </c>
    </row>
    <row r="83" spans="1:13" x14ac:dyDescent="0.3">
      <c r="A83" s="5" t="s">
        <v>265</v>
      </c>
      <c r="B83" s="7">
        <f>-22021.05</f>
        <v>-22021.05</v>
      </c>
      <c r="C83" s="7">
        <f>-13810</f>
        <v>-13810</v>
      </c>
      <c r="D83" s="7">
        <f>5583.74</f>
        <v>5583.74</v>
      </c>
      <c r="E83" s="7">
        <f>13859.57</f>
        <v>13859.57</v>
      </c>
      <c r="F83" s="7">
        <f>2153.61</f>
        <v>2153.61</v>
      </c>
      <c r="G83" s="7">
        <f>15355.81</f>
        <v>15355.81</v>
      </c>
      <c r="H83" s="7">
        <f>14833.45</f>
        <v>14833.45</v>
      </c>
      <c r="I83" s="7">
        <f>12661.03</f>
        <v>12661.03</v>
      </c>
      <c r="J83" s="7">
        <f>-9528.85</f>
        <v>-9528.85</v>
      </c>
      <c r="K83" s="7">
        <f>-38808.86</f>
        <v>-38808.86</v>
      </c>
      <c r="L83" s="7">
        <f>-35783.32</f>
        <v>-35783.32</v>
      </c>
      <c r="M83" s="7">
        <f>-28425.78</f>
        <v>-28425.78</v>
      </c>
    </row>
    <row r="84" spans="1:13" x14ac:dyDescent="0.3">
      <c r="A84" s="5" t="s">
        <v>264</v>
      </c>
      <c r="B84" s="8">
        <f t="shared" ref="B84:M84" si="35">(((((B70)+(B79))+(B80))+(B81))+(B82))+(B83)</f>
        <v>-150225.08000000002</v>
      </c>
      <c r="C84" s="8">
        <f t="shared" si="35"/>
        <v>-142014.03000000003</v>
      </c>
      <c r="D84" s="8">
        <f t="shared" si="35"/>
        <v>-122620.29000000001</v>
      </c>
      <c r="E84" s="8">
        <f t="shared" si="35"/>
        <v>-114344.46000000002</v>
      </c>
      <c r="F84" s="8">
        <f t="shared" si="35"/>
        <v>-69735.35000000002</v>
      </c>
      <c r="G84" s="8">
        <f t="shared" si="35"/>
        <v>-56533.150000000023</v>
      </c>
      <c r="H84" s="8">
        <f t="shared" si="35"/>
        <v>16593.809999999987</v>
      </c>
      <c r="I84" s="8">
        <f t="shared" si="35"/>
        <v>14421.389999999987</v>
      </c>
      <c r="J84" s="8">
        <f t="shared" si="35"/>
        <v>-7770.4200000000073</v>
      </c>
      <c r="K84" s="8">
        <f t="shared" si="35"/>
        <v>-37050.430000000008</v>
      </c>
      <c r="L84" s="8">
        <f t="shared" si="35"/>
        <v>-34024.890000000007</v>
      </c>
      <c r="M84" s="8">
        <f t="shared" si="35"/>
        <v>-26667.350000000006</v>
      </c>
    </row>
    <row r="85" spans="1:13" x14ac:dyDescent="0.3">
      <c r="A85" s="5" t="s">
        <v>263</v>
      </c>
      <c r="B85" s="8">
        <f t="shared" ref="B85:M85" si="36">(B68)+(B84)</f>
        <v>96035.98000000001</v>
      </c>
      <c r="C85" s="8">
        <f t="shared" si="36"/>
        <v>99942.159999999974</v>
      </c>
      <c r="D85" s="8">
        <f t="shared" si="36"/>
        <v>116606.39000000001</v>
      </c>
      <c r="E85" s="8">
        <f t="shared" si="36"/>
        <v>223376.36</v>
      </c>
      <c r="F85" s="8">
        <f t="shared" si="36"/>
        <v>217270.24</v>
      </c>
      <c r="G85" s="8">
        <f t="shared" si="36"/>
        <v>219818.16999999998</v>
      </c>
      <c r="H85" s="8">
        <f t="shared" si="36"/>
        <v>209749.2</v>
      </c>
      <c r="I85" s="8">
        <f t="shared" si="36"/>
        <v>222516.84</v>
      </c>
      <c r="J85" s="8">
        <f t="shared" si="36"/>
        <v>197470.74999999997</v>
      </c>
      <c r="K85" s="8">
        <f t="shared" si="36"/>
        <v>179895.89</v>
      </c>
      <c r="L85" s="8">
        <f t="shared" si="36"/>
        <v>172765.53999999998</v>
      </c>
      <c r="M85" s="8">
        <f t="shared" si="36"/>
        <v>189458.9</v>
      </c>
    </row>
    <row r="86" spans="1:13" x14ac:dyDescent="0.3">
      <c r="A86" s="5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</row>
    <row r="89" spans="1:13" x14ac:dyDescent="0.3">
      <c r="A89" s="12" t="s">
        <v>365</v>
      </c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theme="3" tint="0.79998168889431442"/>
  </sheetPr>
  <dimension ref="A1:M74"/>
  <sheetViews>
    <sheetView workbookViewId="0"/>
  </sheetViews>
  <sheetFormatPr defaultColWidth="9" defaultRowHeight="14.4" x14ac:dyDescent="0.3"/>
  <cols>
    <col min="1" max="1" width="40.44140625" style="2" customWidth="1"/>
    <col min="2" max="6" width="11.109375" style="2" customWidth="1"/>
    <col min="7" max="13" width="12" style="2" customWidth="1"/>
    <col min="14" max="16384" width="9" style="2"/>
  </cols>
  <sheetData>
    <row r="1" spans="1:13" ht="17.399999999999999" x14ac:dyDescent="0.3">
      <c r="A1" s="9" t="s">
        <v>1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</row>
    <row r="2" spans="1:13" ht="17.399999999999999" x14ac:dyDescent="0.3">
      <c r="A2" s="9" t="s">
        <v>361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</row>
    <row r="3" spans="1:13" x14ac:dyDescent="0.3">
      <c r="A3" s="11" t="s">
        <v>367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</row>
    <row r="5" spans="1:13" x14ac:dyDescent="0.3">
      <c r="A5" s="3"/>
      <c r="B5" s="4" t="s">
        <v>166</v>
      </c>
      <c r="C5" s="4" t="s">
        <v>167</v>
      </c>
      <c r="D5" s="4" t="s">
        <v>168</v>
      </c>
      <c r="E5" s="4" t="s">
        <v>169</v>
      </c>
      <c r="F5" s="4" t="s">
        <v>170</v>
      </c>
      <c r="G5" s="4" t="s">
        <v>171</v>
      </c>
      <c r="H5" s="4" t="s">
        <v>172</v>
      </c>
      <c r="I5" s="4" t="s">
        <v>173</v>
      </c>
      <c r="J5" s="4" t="s">
        <v>174</v>
      </c>
      <c r="K5" s="4" t="s">
        <v>175</v>
      </c>
      <c r="L5" s="4" t="s">
        <v>176</v>
      </c>
      <c r="M5" s="4" t="s">
        <v>177</v>
      </c>
    </row>
    <row r="6" spans="1:13" x14ac:dyDescent="0.3">
      <c r="A6" s="5" t="s">
        <v>359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</row>
    <row r="7" spans="1:13" x14ac:dyDescent="0.3">
      <c r="A7" s="5" t="s">
        <v>358</v>
      </c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</row>
    <row r="8" spans="1:13" x14ac:dyDescent="0.3">
      <c r="A8" s="5" t="s">
        <v>357</v>
      </c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</row>
    <row r="9" spans="1:13" x14ac:dyDescent="0.3">
      <c r="A9" s="5" t="s">
        <v>355</v>
      </c>
      <c r="B9" s="7">
        <f>8249.53</f>
        <v>8249.5300000000007</v>
      </c>
      <c r="C9" s="7">
        <f>28378.7</f>
        <v>28378.7</v>
      </c>
      <c r="D9" s="7">
        <f>24108.97</f>
        <v>24108.97</v>
      </c>
      <c r="E9" s="7">
        <f>24899.98</f>
        <v>24899.98</v>
      </c>
      <c r="F9" s="7">
        <f>42015.22</f>
        <v>42015.22</v>
      </c>
      <c r="G9" s="7">
        <f>20989.14</f>
        <v>20989.14</v>
      </c>
      <c r="H9" s="7">
        <f>146.38</f>
        <v>146.38</v>
      </c>
      <c r="I9" s="7">
        <f>420.15</f>
        <v>420.15</v>
      </c>
      <c r="J9" s="7">
        <f>418.65</f>
        <v>418.65</v>
      </c>
      <c r="K9" s="7">
        <f>368.65</f>
        <v>368.65</v>
      </c>
      <c r="L9" s="7">
        <f>290.95</f>
        <v>290.95</v>
      </c>
      <c r="M9" s="7">
        <f>233.95</f>
        <v>233.95</v>
      </c>
    </row>
    <row r="10" spans="1:13" x14ac:dyDescent="0.3">
      <c r="A10" s="5" t="s">
        <v>351</v>
      </c>
      <c r="B10" s="6"/>
      <c r="C10" s="7">
        <f>B10</f>
        <v>0</v>
      </c>
      <c r="D10" s="7">
        <f>C10</f>
        <v>0</v>
      </c>
      <c r="E10" s="7">
        <f>D10</f>
        <v>0</v>
      </c>
      <c r="F10" s="7">
        <f>E10</f>
        <v>0</v>
      </c>
      <c r="G10" s="7">
        <f>4500</f>
        <v>4500</v>
      </c>
      <c r="H10" s="7">
        <f t="shared" ref="H10:M10" si="0">G10</f>
        <v>4500</v>
      </c>
      <c r="I10" s="7">
        <f t="shared" si="0"/>
        <v>4500</v>
      </c>
      <c r="J10" s="7">
        <f t="shared" si="0"/>
        <v>4500</v>
      </c>
      <c r="K10" s="7">
        <f t="shared" si="0"/>
        <v>4500</v>
      </c>
      <c r="L10" s="7">
        <f t="shared" si="0"/>
        <v>4500</v>
      </c>
      <c r="M10" s="7">
        <f t="shared" si="0"/>
        <v>4500</v>
      </c>
    </row>
    <row r="11" spans="1:13" x14ac:dyDescent="0.3">
      <c r="A11" s="5" t="s">
        <v>350</v>
      </c>
      <c r="B11" s="6"/>
      <c r="C11" s="7">
        <f>B11</f>
        <v>0</v>
      </c>
      <c r="D11" s="7">
        <f>80.97</f>
        <v>80.97</v>
      </c>
      <c r="E11" s="7">
        <f>23.41</f>
        <v>23.41</v>
      </c>
      <c r="F11" s="7">
        <f>4987.88</f>
        <v>4987.88</v>
      </c>
      <c r="G11" s="7">
        <f>220.25</f>
        <v>220.25</v>
      </c>
      <c r="H11" s="7">
        <f>8577.67</f>
        <v>8577.67</v>
      </c>
      <c r="I11" s="7">
        <f>24683.75</f>
        <v>24683.75</v>
      </c>
      <c r="J11" s="7">
        <f>22818.8</f>
        <v>22818.799999999999</v>
      </c>
      <c r="K11" s="7">
        <f>19117.27</f>
        <v>19117.27</v>
      </c>
      <c r="L11" s="7">
        <f>18404.05</f>
        <v>18404.05</v>
      </c>
      <c r="M11" s="7">
        <f>10280.58</f>
        <v>10280.58</v>
      </c>
    </row>
    <row r="12" spans="1:13" x14ac:dyDescent="0.3">
      <c r="A12" s="5" t="s">
        <v>349</v>
      </c>
      <c r="B12" s="7">
        <f>-0.01</f>
        <v>-0.01</v>
      </c>
      <c r="C12" s="7">
        <f>300.03</f>
        <v>300.02999999999997</v>
      </c>
      <c r="D12" s="7">
        <f>0</f>
        <v>0</v>
      </c>
      <c r="E12" s="7">
        <f>D12</f>
        <v>0</v>
      </c>
      <c r="F12" s="7">
        <f>E12</f>
        <v>0</v>
      </c>
      <c r="G12" s="7">
        <f>0</f>
        <v>0</v>
      </c>
      <c r="H12" s="7">
        <f>0</f>
        <v>0</v>
      </c>
      <c r="I12" s="7">
        <f>0</f>
        <v>0</v>
      </c>
      <c r="J12" s="7">
        <f>150</f>
        <v>150</v>
      </c>
      <c r="K12" s="7">
        <f>300.01</f>
        <v>300.01</v>
      </c>
      <c r="L12" s="7">
        <f>150.01</f>
        <v>150.01</v>
      </c>
      <c r="M12" s="7">
        <f>300.02</f>
        <v>300.02</v>
      </c>
    </row>
    <row r="13" spans="1:13" x14ac:dyDescent="0.3">
      <c r="A13" s="5" t="s">
        <v>348</v>
      </c>
      <c r="B13" s="8">
        <f t="shared" ref="B13:M13" si="1">(((B9)+(B10))+(B11))+(B12)</f>
        <v>8249.52</v>
      </c>
      <c r="C13" s="8">
        <f t="shared" si="1"/>
        <v>28678.73</v>
      </c>
      <c r="D13" s="8">
        <f t="shared" si="1"/>
        <v>24189.940000000002</v>
      </c>
      <c r="E13" s="8">
        <f t="shared" si="1"/>
        <v>24923.39</v>
      </c>
      <c r="F13" s="8">
        <f t="shared" si="1"/>
        <v>47003.1</v>
      </c>
      <c r="G13" s="8">
        <f t="shared" si="1"/>
        <v>25709.39</v>
      </c>
      <c r="H13" s="8">
        <f t="shared" si="1"/>
        <v>13224.05</v>
      </c>
      <c r="I13" s="8">
        <f t="shared" si="1"/>
        <v>29603.9</v>
      </c>
      <c r="J13" s="8">
        <f t="shared" si="1"/>
        <v>27887.449999999997</v>
      </c>
      <c r="K13" s="8">
        <f t="shared" si="1"/>
        <v>24285.929999999997</v>
      </c>
      <c r="L13" s="8">
        <f t="shared" si="1"/>
        <v>23345.01</v>
      </c>
      <c r="M13" s="8">
        <f t="shared" si="1"/>
        <v>15314.55</v>
      </c>
    </row>
    <row r="14" spans="1:13" x14ac:dyDescent="0.3">
      <c r="A14" s="5" t="s">
        <v>347</v>
      </c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</row>
    <row r="15" spans="1:13" x14ac:dyDescent="0.3">
      <c r="A15" s="5" t="s">
        <v>346</v>
      </c>
      <c r="B15" s="7">
        <f>0</f>
        <v>0</v>
      </c>
      <c r="C15" s="7">
        <f t="shared" ref="C15:M15" si="2">B15</f>
        <v>0</v>
      </c>
      <c r="D15" s="7">
        <f t="shared" si="2"/>
        <v>0</v>
      </c>
      <c r="E15" s="7">
        <f t="shared" si="2"/>
        <v>0</v>
      </c>
      <c r="F15" s="7">
        <f t="shared" si="2"/>
        <v>0</v>
      </c>
      <c r="G15" s="7">
        <f t="shared" si="2"/>
        <v>0</v>
      </c>
      <c r="H15" s="7">
        <f t="shared" si="2"/>
        <v>0</v>
      </c>
      <c r="I15" s="7">
        <f t="shared" si="2"/>
        <v>0</v>
      </c>
      <c r="J15" s="7">
        <f t="shared" si="2"/>
        <v>0</v>
      </c>
      <c r="K15" s="7">
        <f t="shared" si="2"/>
        <v>0</v>
      </c>
      <c r="L15" s="7">
        <f t="shared" si="2"/>
        <v>0</v>
      </c>
      <c r="M15" s="7">
        <f t="shared" si="2"/>
        <v>0</v>
      </c>
    </row>
    <row r="16" spans="1:13" x14ac:dyDescent="0.3">
      <c r="A16" s="5" t="s">
        <v>345</v>
      </c>
      <c r="B16" s="8">
        <f t="shared" ref="B16:M16" si="3">B15</f>
        <v>0</v>
      </c>
      <c r="C16" s="8">
        <f t="shared" si="3"/>
        <v>0</v>
      </c>
      <c r="D16" s="8">
        <f t="shared" si="3"/>
        <v>0</v>
      </c>
      <c r="E16" s="8">
        <f t="shared" si="3"/>
        <v>0</v>
      </c>
      <c r="F16" s="8">
        <f t="shared" si="3"/>
        <v>0</v>
      </c>
      <c r="G16" s="8">
        <f t="shared" si="3"/>
        <v>0</v>
      </c>
      <c r="H16" s="8">
        <f t="shared" si="3"/>
        <v>0</v>
      </c>
      <c r="I16" s="8">
        <f t="shared" si="3"/>
        <v>0</v>
      </c>
      <c r="J16" s="8">
        <f t="shared" si="3"/>
        <v>0</v>
      </c>
      <c r="K16" s="8">
        <f t="shared" si="3"/>
        <v>0</v>
      </c>
      <c r="L16" s="8">
        <f t="shared" si="3"/>
        <v>0</v>
      </c>
      <c r="M16" s="8">
        <f t="shared" si="3"/>
        <v>0</v>
      </c>
    </row>
    <row r="17" spans="1:13" x14ac:dyDescent="0.3">
      <c r="A17" s="5" t="s">
        <v>344</v>
      </c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</row>
    <row r="18" spans="1:13" x14ac:dyDescent="0.3">
      <c r="A18" s="5" t="s">
        <v>342</v>
      </c>
      <c r="B18" s="7">
        <f>20272.7</f>
        <v>20272.7</v>
      </c>
      <c r="C18" s="7">
        <f>22296.5</f>
        <v>22296.5</v>
      </c>
      <c r="D18" s="7">
        <f>28125.86</f>
        <v>28125.86</v>
      </c>
      <c r="E18" s="7">
        <f>25516.93</f>
        <v>25516.93</v>
      </c>
      <c r="F18" s="7">
        <f>23007.51</f>
        <v>23007.51</v>
      </c>
      <c r="G18" s="7">
        <f>21753.39</f>
        <v>21753.39</v>
      </c>
      <c r="H18" s="7">
        <f>25463.6</f>
        <v>25463.599999999999</v>
      </c>
      <c r="I18" s="7">
        <f>29084.07</f>
        <v>29084.07</v>
      </c>
      <c r="J18" s="7">
        <f>36336.36</f>
        <v>36336.36</v>
      </c>
      <c r="K18" s="7">
        <f>40324.72</f>
        <v>40324.720000000001</v>
      </c>
      <c r="L18" s="7">
        <f>42859.8</f>
        <v>42859.8</v>
      </c>
      <c r="M18" s="7">
        <f>51717.31</f>
        <v>51717.31</v>
      </c>
    </row>
    <row r="19" spans="1:13" x14ac:dyDescent="0.3">
      <c r="A19" s="5" t="s">
        <v>339</v>
      </c>
      <c r="B19" s="8">
        <f t="shared" ref="B19:M19" si="4">B18</f>
        <v>20272.7</v>
      </c>
      <c r="C19" s="8">
        <f t="shared" si="4"/>
        <v>22296.5</v>
      </c>
      <c r="D19" s="8">
        <f t="shared" si="4"/>
        <v>28125.86</v>
      </c>
      <c r="E19" s="8">
        <f t="shared" si="4"/>
        <v>25516.93</v>
      </c>
      <c r="F19" s="8">
        <f t="shared" si="4"/>
        <v>23007.51</v>
      </c>
      <c r="G19" s="8">
        <f t="shared" si="4"/>
        <v>21753.39</v>
      </c>
      <c r="H19" s="8">
        <f t="shared" si="4"/>
        <v>25463.599999999999</v>
      </c>
      <c r="I19" s="8">
        <f t="shared" si="4"/>
        <v>29084.07</v>
      </c>
      <c r="J19" s="8">
        <f t="shared" si="4"/>
        <v>36336.36</v>
      </c>
      <c r="K19" s="8">
        <f t="shared" si="4"/>
        <v>40324.720000000001</v>
      </c>
      <c r="L19" s="8">
        <f t="shared" si="4"/>
        <v>42859.8</v>
      </c>
      <c r="M19" s="8">
        <f t="shared" si="4"/>
        <v>51717.31</v>
      </c>
    </row>
    <row r="20" spans="1:13" x14ac:dyDescent="0.3">
      <c r="A20" s="5" t="s">
        <v>338</v>
      </c>
      <c r="B20" s="8">
        <f t="shared" ref="B20:M20" si="5">((B13)+(B16))+(B19)</f>
        <v>28522.22</v>
      </c>
      <c r="C20" s="8">
        <f t="shared" si="5"/>
        <v>50975.229999999996</v>
      </c>
      <c r="D20" s="8">
        <f t="shared" si="5"/>
        <v>52315.8</v>
      </c>
      <c r="E20" s="8">
        <f t="shared" si="5"/>
        <v>50440.32</v>
      </c>
      <c r="F20" s="8">
        <f t="shared" si="5"/>
        <v>70010.61</v>
      </c>
      <c r="G20" s="8">
        <f t="shared" si="5"/>
        <v>47462.78</v>
      </c>
      <c r="H20" s="8">
        <f t="shared" si="5"/>
        <v>38687.649999999994</v>
      </c>
      <c r="I20" s="8">
        <f t="shared" si="5"/>
        <v>58687.97</v>
      </c>
      <c r="J20" s="8">
        <f t="shared" si="5"/>
        <v>64223.81</v>
      </c>
      <c r="K20" s="8">
        <f t="shared" si="5"/>
        <v>64610.649999999994</v>
      </c>
      <c r="L20" s="8">
        <f t="shared" si="5"/>
        <v>66204.81</v>
      </c>
      <c r="M20" s="8">
        <f t="shared" si="5"/>
        <v>67031.86</v>
      </c>
    </row>
    <row r="21" spans="1:13" x14ac:dyDescent="0.3">
      <c r="A21" s="5" t="s">
        <v>337</v>
      </c>
      <c r="B21" s="8">
        <f t="shared" ref="B21:M21" si="6">B20</f>
        <v>28522.22</v>
      </c>
      <c r="C21" s="8">
        <f t="shared" si="6"/>
        <v>50975.229999999996</v>
      </c>
      <c r="D21" s="8">
        <f t="shared" si="6"/>
        <v>52315.8</v>
      </c>
      <c r="E21" s="8">
        <f t="shared" si="6"/>
        <v>50440.32</v>
      </c>
      <c r="F21" s="8">
        <f t="shared" si="6"/>
        <v>70010.61</v>
      </c>
      <c r="G21" s="8">
        <f t="shared" si="6"/>
        <v>47462.78</v>
      </c>
      <c r="H21" s="8">
        <f t="shared" si="6"/>
        <v>38687.649999999994</v>
      </c>
      <c r="I21" s="8">
        <f t="shared" si="6"/>
        <v>58687.97</v>
      </c>
      <c r="J21" s="8">
        <f t="shared" si="6"/>
        <v>64223.81</v>
      </c>
      <c r="K21" s="8">
        <f t="shared" si="6"/>
        <v>64610.649999999994</v>
      </c>
      <c r="L21" s="8">
        <f t="shared" si="6"/>
        <v>66204.81</v>
      </c>
      <c r="M21" s="8">
        <f t="shared" si="6"/>
        <v>67031.86</v>
      </c>
    </row>
    <row r="22" spans="1:13" x14ac:dyDescent="0.3">
      <c r="A22" s="5" t="s">
        <v>336</v>
      </c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</row>
    <row r="23" spans="1:13" x14ac:dyDescent="0.3">
      <c r="A23" s="5" t="s">
        <v>335</v>
      </c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</row>
    <row r="24" spans="1:13" x14ac:dyDescent="0.3">
      <c r="A24" s="5" t="s">
        <v>334</v>
      </c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</row>
    <row r="25" spans="1:13" x14ac:dyDescent="0.3">
      <c r="A25" s="5" t="s">
        <v>333</v>
      </c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</row>
    <row r="26" spans="1:13" x14ac:dyDescent="0.3">
      <c r="A26" s="5" t="s">
        <v>331</v>
      </c>
      <c r="B26" s="6"/>
      <c r="C26" s="7">
        <f t="shared" ref="C26:L26" si="7">B26</f>
        <v>0</v>
      </c>
      <c r="D26" s="7">
        <f t="shared" si="7"/>
        <v>0</v>
      </c>
      <c r="E26" s="7">
        <f t="shared" si="7"/>
        <v>0</v>
      </c>
      <c r="F26" s="7">
        <f t="shared" si="7"/>
        <v>0</v>
      </c>
      <c r="G26" s="7">
        <f t="shared" si="7"/>
        <v>0</v>
      </c>
      <c r="H26" s="7">
        <f t="shared" si="7"/>
        <v>0</v>
      </c>
      <c r="I26" s="7">
        <f t="shared" si="7"/>
        <v>0</v>
      </c>
      <c r="J26" s="7">
        <f t="shared" si="7"/>
        <v>0</v>
      </c>
      <c r="K26" s="7">
        <f t="shared" si="7"/>
        <v>0</v>
      </c>
      <c r="L26" s="7">
        <f t="shared" si="7"/>
        <v>0</v>
      </c>
      <c r="M26" s="7">
        <f>1985.4</f>
        <v>1985.4</v>
      </c>
    </row>
    <row r="27" spans="1:13" x14ac:dyDescent="0.3">
      <c r="A27" s="5" t="s">
        <v>330</v>
      </c>
      <c r="B27" s="8">
        <f t="shared" ref="B27:M27" si="8">B26</f>
        <v>0</v>
      </c>
      <c r="C27" s="8">
        <f t="shared" si="8"/>
        <v>0</v>
      </c>
      <c r="D27" s="8">
        <f t="shared" si="8"/>
        <v>0</v>
      </c>
      <c r="E27" s="8">
        <f t="shared" si="8"/>
        <v>0</v>
      </c>
      <c r="F27" s="8">
        <f t="shared" si="8"/>
        <v>0</v>
      </c>
      <c r="G27" s="8">
        <f t="shared" si="8"/>
        <v>0</v>
      </c>
      <c r="H27" s="8">
        <f t="shared" si="8"/>
        <v>0</v>
      </c>
      <c r="I27" s="8">
        <f t="shared" si="8"/>
        <v>0</v>
      </c>
      <c r="J27" s="8">
        <f t="shared" si="8"/>
        <v>0</v>
      </c>
      <c r="K27" s="8">
        <f t="shared" si="8"/>
        <v>0</v>
      </c>
      <c r="L27" s="8">
        <f t="shared" si="8"/>
        <v>0</v>
      </c>
      <c r="M27" s="8">
        <f t="shared" si="8"/>
        <v>1985.4</v>
      </c>
    </row>
    <row r="28" spans="1:13" x14ac:dyDescent="0.3">
      <c r="A28" s="5" t="s">
        <v>329</v>
      </c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</row>
    <row r="29" spans="1:13" x14ac:dyDescent="0.3">
      <c r="A29" s="5" t="s">
        <v>328</v>
      </c>
      <c r="B29" s="6"/>
      <c r="C29" s="7">
        <f t="shared" ref="C29:M29" si="9">B29</f>
        <v>0</v>
      </c>
      <c r="D29" s="7">
        <f t="shared" si="9"/>
        <v>0</v>
      </c>
      <c r="E29" s="7">
        <f t="shared" si="9"/>
        <v>0</v>
      </c>
      <c r="F29" s="7">
        <f t="shared" si="9"/>
        <v>0</v>
      </c>
      <c r="G29" s="7">
        <f t="shared" si="9"/>
        <v>0</v>
      </c>
      <c r="H29" s="7">
        <f t="shared" si="9"/>
        <v>0</v>
      </c>
      <c r="I29" s="7">
        <f t="shared" si="9"/>
        <v>0</v>
      </c>
      <c r="J29" s="7">
        <f t="shared" si="9"/>
        <v>0</v>
      </c>
      <c r="K29" s="7">
        <f t="shared" si="9"/>
        <v>0</v>
      </c>
      <c r="L29" s="7">
        <f t="shared" si="9"/>
        <v>0</v>
      </c>
      <c r="M29" s="7">
        <f t="shared" si="9"/>
        <v>0</v>
      </c>
    </row>
    <row r="30" spans="1:13" x14ac:dyDescent="0.3">
      <c r="A30" s="5" t="s">
        <v>325</v>
      </c>
      <c r="B30" s="6"/>
      <c r="C30" s="7">
        <f>5839.11</f>
        <v>5839.11</v>
      </c>
      <c r="D30" s="7">
        <f>13933.31</f>
        <v>13933.31</v>
      </c>
      <c r="E30" s="7">
        <f>8080.31</f>
        <v>8080.31</v>
      </c>
      <c r="F30" s="7">
        <f>12058.71</f>
        <v>12058.71</v>
      </c>
      <c r="G30" s="7">
        <f>10814.07</f>
        <v>10814.07</v>
      </c>
      <c r="H30" s="7">
        <f>11024.28</f>
        <v>11024.28</v>
      </c>
      <c r="I30" s="7">
        <f>8269.65</f>
        <v>8269.65</v>
      </c>
      <c r="J30" s="7">
        <f>12052.39</f>
        <v>12052.39</v>
      </c>
      <c r="K30" s="7">
        <f>16927.48</f>
        <v>16927.48</v>
      </c>
      <c r="L30" s="7">
        <f>24324.42</f>
        <v>24324.42</v>
      </c>
      <c r="M30" s="7">
        <f>26591.21</f>
        <v>26591.21</v>
      </c>
    </row>
    <row r="31" spans="1:13" x14ac:dyDescent="0.3">
      <c r="A31" s="5" t="s">
        <v>324</v>
      </c>
      <c r="B31" s="7">
        <f>1171.54</f>
        <v>1171.54</v>
      </c>
      <c r="C31" s="7">
        <f>1080.5</f>
        <v>1080.5</v>
      </c>
      <c r="D31" s="7">
        <f>794.81</f>
        <v>794.81</v>
      </c>
      <c r="E31" s="7">
        <f>1595.49</f>
        <v>1595.49</v>
      </c>
      <c r="F31" s="7">
        <f>1222.97</f>
        <v>1222.97</v>
      </c>
      <c r="G31" s="7">
        <f>1326.11</f>
        <v>1326.11</v>
      </c>
      <c r="H31" s="7">
        <f>955.54</f>
        <v>955.54</v>
      </c>
      <c r="I31" s="7">
        <f>1434.48</f>
        <v>1434.48</v>
      </c>
      <c r="J31" s="7">
        <f>1893.59</f>
        <v>1893.59</v>
      </c>
      <c r="K31" s="7">
        <f>2017.86</f>
        <v>2017.86</v>
      </c>
      <c r="L31" s="7">
        <f>2011.04</f>
        <v>2011.04</v>
      </c>
      <c r="M31" s="7">
        <f>2002.02</f>
        <v>2002.02</v>
      </c>
    </row>
    <row r="32" spans="1:13" x14ac:dyDescent="0.3">
      <c r="A32" s="5" t="s">
        <v>319</v>
      </c>
      <c r="B32" s="8">
        <f t="shared" ref="B32:M32" si="10">((B29)+(B30))+(B31)</f>
        <v>1171.54</v>
      </c>
      <c r="C32" s="8">
        <f t="shared" si="10"/>
        <v>6919.61</v>
      </c>
      <c r="D32" s="8">
        <f t="shared" si="10"/>
        <v>14728.119999999999</v>
      </c>
      <c r="E32" s="8">
        <f t="shared" si="10"/>
        <v>9675.8000000000011</v>
      </c>
      <c r="F32" s="8">
        <f t="shared" si="10"/>
        <v>13281.679999999998</v>
      </c>
      <c r="G32" s="8">
        <f t="shared" si="10"/>
        <v>12140.18</v>
      </c>
      <c r="H32" s="8">
        <f t="shared" si="10"/>
        <v>11979.82</v>
      </c>
      <c r="I32" s="8">
        <f t="shared" si="10"/>
        <v>9704.1299999999992</v>
      </c>
      <c r="J32" s="8">
        <f t="shared" si="10"/>
        <v>13945.98</v>
      </c>
      <c r="K32" s="8">
        <f t="shared" si="10"/>
        <v>18945.34</v>
      </c>
      <c r="L32" s="8">
        <f t="shared" si="10"/>
        <v>26335.46</v>
      </c>
      <c r="M32" s="8">
        <f t="shared" si="10"/>
        <v>28593.23</v>
      </c>
    </row>
    <row r="33" spans="1:13" x14ac:dyDescent="0.3">
      <c r="A33" s="5" t="s">
        <v>315</v>
      </c>
      <c r="B33" s="6"/>
      <c r="C33" s="7">
        <f>B33</f>
        <v>0</v>
      </c>
      <c r="D33" s="7">
        <f>C33</f>
        <v>0</v>
      </c>
      <c r="E33" s="7">
        <f>D33</f>
        <v>0</v>
      </c>
      <c r="F33" s="7">
        <f>E33</f>
        <v>0</v>
      </c>
      <c r="G33" s="7">
        <f>1446.51</f>
        <v>1446.51</v>
      </c>
      <c r="H33" s="7">
        <f>3484.08</f>
        <v>3484.08</v>
      </c>
      <c r="I33" s="7">
        <f>4028.98</f>
        <v>4028.98</v>
      </c>
      <c r="J33" s="7">
        <f>4367.65</f>
        <v>4367.6499999999996</v>
      </c>
      <c r="K33" s="7">
        <f>3457.7</f>
        <v>3457.7</v>
      </c>
      <c r="L33" s="7">
        <f>3916.83</f>
        <v>3916.83</v>
      </c>
      <c r="M33" s="7">
        <f>3846.12</f>
        <v>3846.12</v>
      </c>
    </row>
    <row r="34" spans="1:13" x14ac:dyDescent="0.3">
      <c r="A34" s="5" t="s">
        <v>314</v>
      </c>
      <c r="B34" s="8">
        <f t="shared" ref="B34:M34" si="11">(B32)+(B33)</f>
        <v>1171.54</v>
      </c>
      <c r="C34" s="8">
        <f t="shared" si="11"/>
        <v>6919.61</v>
      </c>
      <c r="D34" s="8">
        <f t="shared" si="11"/>
        <v>14728.119999999999</v>
      </c>
      <c r="E34" s="8">
        <f t="shared" si="11"/>
        <v>9675.8000000000011</v>
      </c>
      <c r="F34" s="8">
        <f t="shared" si="11"/>
        <v>13281.679999999998</v>
      </c>
      <c r="G34" s="8">
        <f t="shared" si="11"/>
        <v>13586.69</v>
      </c>
      <c r="H34" s="8">
        <f t="shared" si="11"/>
        <v>15463.9</v>
      </c>
      <c r="I34" s="8">
        <f t="shared" si="11"/>
        <v>13733.109999999999</v>
      </c>
      <c r="J34" s="8">
        <f t="shared" si="11"/>
        <v>18313.629999999997</v>
      </c>
      <c r="K34" s="8">
        <f t="shared" si="11"/>
        <v>22403.040000000001</v>
      </c>
      <c r="L34" s="8">
        <f t="shared" si="11"/>
        <v>30252.29</v>
      </c>
      <c r="M34" s="8">
        <f t="shared" si="11"/>
        <v>32439.35</v>
      </c>
    </row>
    <row r="35" spans="1:13" x14ac:dyDescent="0.3">
      <c r="A35" s="5" t="s">
        <v>313</v>
      </c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</row>
    <row r="36" spans="1:13" x14ac:dyDescent="0.3">
      <c r="A36" s="5" t="s">
        <v>312</v>
      </c>
      <c r="B36" s="6"/>
      <c r="C36" s="7">
        <f t="shared" ref="C36:H38" si="12">B36</f>
        <v>0</v>
      </c>
      <c r="D36" s="7">
        <f t="shared" si="12"/>
        <v>0</v>
      </c>
      <c r="E36" s="7">
        <f t="shared" si="12"/>
        <v>0</v>
      </c>
      <c r="F36" s="7">
        <f t="shared" si="12"/>
        <v>0</v>
      </c>
      <c r="G36" s="7">
        <f t="shared" si="12"/>
        <v>0</v>
      </c>
      <c r="H36" s="7">
        <f t="shared" si="12"/>
        <v>0</v>
      </c>
      <c r="I36" s="7">
        <f>30000</f>
        <v>30000</v>
      </c>
      <c r="J36" s="7">
        <f>I36</f>
        <v>30000</v>
      </c>
      <c r="K36" s="7">
        <f>27653.63</f>
        <v>27653.63</v>
      </c>
      <c r="L36" s="7">
        <f>25278.95</f>
        <v>25278.95</v>
      </c>
      <c r="M36" s="7">
        <f>22875.62</f>
        <v>22875.62</v>
      </c>
    </row>
    <row r="37" spans="1:13" x14ac:dyDescent="0.3">
      <c r="A37" s="5" t="s">
        <v>308</v>
      </c>
      <c r="B37" s="7">
        <f>0</f>
        <v>0</v>
      </c>
      <c r="C37" s="7">
        <f t="shared" si="12"/>
        <v>0</v>
      </c>
      <c r="D37" s="7">
        <f t="shared" si="12"/>
        <v>0</v>
      </c>
      <c r="E37" s="7">
        <f t="shared" si="12"/>
        <v>0</v>
      </c>
      <c r="F37" s="7">
        <f t="shared" si="12"/>
        <v>0</v>
      </c>
      <c r="G37" s="7">
        <f t="shared" si="12"/>
        <v>0</v>
      </c>
      <c r="H37" s="7">
        <f t="shared" si="12"/>
        <v>0</v>
      </c>
      <c r="I37" s="7">
        <f>H37</f>
        <v>0</v>
      </c>
      <c r="J37" s="7">
        <f>I37</f>
        <v>0</v>
      </c>
      <c r="K37" s="7">
        <f>J37</f>
        <v>0</v>
      </c>
      <c r="L37" s="7">
        <f>K37</f>
        <v>0</v>
      </c>
      <c r="M37" s="7">
        <f>L37</f>
        <v>0</v>
      </c>
    </row>
    <row r="38" spans="1:13" x14ac:dyDescent="0.3">
      <c r="A38" s="5" t="s">
        <v>307</v>
      </c>
      <c r="B38" s="6"/>
      <c r="C38" s="7">
        <f t="shared" si="12"/>
        <v>0</v>
      </c>
      <c r="D38" s="7">
        <f t="shared" si="12"/>
        <v>0</v>
      </c>
      <c r="E38" s="7">
        <f t="shared" si="12"/>
        <v>0</v>
      </c>
      <c r="F38" s="7">
        <f t="shared" si="12"/>
        <v>0</v>
      </c>
      <c r="G38" s="7">
        <f t="shared" si="12"/>
        <v>0</v>
      </c>
      <c r="H38" s="7">
        <f t="shared" si="12"/>
        <v>0</v>
      </c>
      <c r="I38" s="7">
        <f>H38</f>
        <v>0</v>
      </c>
      <c r="J38" s="7">
        <f>I38</f>
        <v>0</v>
      </c>
      <c r="K38" s="7">
        <f>J38</f>
        <v>0</v>
      </c>
      <c r="L38" s="7">
        <f>K38</f>
        <v>0</v>
      </c>
      <c r="M38" s="7">
        <f>4000</f>
        <v>4000</v>
      </c>
    </row>
    <row r="39" spans="1:13" x14ac:dyDescent="0.3">
      <c r="A39" s="5" t="s">
        <v>306</v>
      </c>
      <c r="B39" s="7">
        <f>10598.12</f>
        <v>10598.12</v>
      </c>
      <c r="C39" s="7">
        <f>10686.44</f>
        <v>10686.44</v>
      </c>
      <c r="D39" s="7">
        <f>10775.49</f>
        <v>10775.49</v>
      </c>
      <c r="E39" s="7">
        <f>10865.29</f>
        <v>10865.29</v>
      </c>
      <c r="F39" s="7">
        <f>10955.83</f>
        <v>10955.83</v>
      </c>
      <c r="G39" s="7">
        <f>11047.13</f>
        <v>11047.13</v>
      </c>
      <c r="H39" s="7">
        <f>11139.19</f>
        <v>11139.19</v>
      </c>
      <c r="I39" s="7">
        <f>11232.02</f>
        <v>11232.02</v>
      </c>
      <c r="J39" s="7">
        <f>11325.62</f>
        <v>11325.62</v>
      </c>
      <c r="K39" s="7">
        <f>11420</f>
        <v>11420</v>
      </c>
      <c r="L39" s="7">
        <f>11515.17</f>
        <v>11515.17</v>
      </c>
      <c r="M39" s="7">
        <f>9631.83</f>
        <v>9631.83</v>
      </c>
    </row>
    <row r="40" spans="1:13" x14ac:dyDescent="0.3">
      <c r="A40" s="5" t="s">
        <v>305</v>
      </c>
      <c r="B40" s="8">
        <f t="shared" ref="B40:M40" si="13">(B38)+(B39)</f>
        <v>10598.12</v>
      </c>
      <c r="C40" s="8">
        <f t="shared" si="13"/>
        <v>10686.44</v>
      </c>
      <c r="D40" s="8">
        <f t="shared" si="13"/>
        <v>10775.49</v>
      </c>
      <c r="E40" s="8">
        <f t="shared" si="13"/>
        <v>10865.29</v>
      </c>
      <c r="F40" s="8">
        <f t="shared" si="13"/>
        <v>10955.83</v>
      </c>
      <c r="G40" s="8">
        <f t="shared" si="13"/>
        <v>11047.13</v>
      </c>
      <c r="H40" s="8">
        <f t="shared" si="13"/>
        <v>11139.19</v>
      </c>
      <c r="I40" s="8">
        <f t="shared" si="13"/>
        <v>11232.02</v>
      </c>
      <c r="J40" s="8">
        <f t="shared" si="13"/>
        <v>11325.62</v>
      </c>
      <c r="K40" s="8">
        <f t="shared" si="13"/>
        <v>11420</v>
      </c>
      <c r="L40" s="8">
        <f t="shared" si="13"/>
        <v>11515.17</v>
      </c>
      <c r="M40" s="8">
        <f t="shared" si="13"/>
        <v>13631.83</v>
      </c>
    </row>
    <row r="41" spans="1:13" x14ac:dyDescent="0.3">
      <c r="A41" s="5" t="s">
        <v>303</v>
      </c>
      <c r="B41" s="6"/>
      <c r="C41" s="7">
        <f t="shared" ref="C41:M41" si="14">B41</f>
        <v>0</v>
      </c>
      <c r="D41" s="7">
        <f t="shared" si="14"/>
        <v>0</v>
      </c>
      <c r="E41" s="7">
        <f t="shared" si="14"/>
        <v>0</v>
      </c>
      <c r="F41" s="7">
        <f t="shared" si="14"/>
        <v>0</v>
      </c>
      <c r="G41" s="7">
        <f t="shared" si="14"/>
        <v>0</v>
      </c>
      <c r="H41" s="7">
        <f t="shared" si="14"/>
        <v>0</v>
      </c>
      <c r="I41" s="7">
        <f t="shared" si="14"/>
        <v>0</v>
      </c>
      <c r="J41" s="7">
        <f t="shared" si="14"/>
        <v>0</v>
      </c>
      <c r="K41" s="7">
        <f t="shared" si="14"/>
        <v>0</v>
      </c>
      <c r="L41" s="7">
        <f t="shared" si="14"/>
        <v>0</v>
      </c>
      <c r="M41" s="7">
        <f t="shared" si="14"/>
        <v>0</v>
      </c>
    </row>
    <row r="42" spans="1:13" x14ac:dyDescent="0.3">
      <c r="A42" s="5" t="s">
        <v>302</v>
      </c>
      <c r="B42" s="7">
        <f>2021.48</f>
        <v>2021.48</v>
      </c>
      <c r="C42" s="7">
        <f t="shared" ref="C42:E44" si="15">B42</f>
        <v>2021.48</v>
      </c>
      <c r="D42" s="7">
        <f t="shared" si="15"/>
        <v>2021.48</v>
      </c>
      <c r="E42" s="7">
        <f t="shared" si="15"/>
        <v>2021.48</v>
      </c>
      <c r="F42" s="7">
        <f>1821.48</f>
        <v>1821.48</v>
      </c>
      <c r="G42" s="7">
        <f>1621.48</f>
        <v>1621.48</v>
      </c>
      <c r="H42" s="7">
        <f>1421.48</f>
        <v>1421.48</v>
      </c>
      <c r="I42" s="7">
        <f>H42</f>
        <v>1421.48</v>
      </c>
      <c r="J42" s="7">
        <f>1221.48</f>
        <v>1221.48</v>
      </c>
      <c r="K42" s="7">
        <f>J42</f>
        <v>1221.48</v>
      </c>
      <c r="L42" s="7">
        <f>821.48</f>
        <v>821.48</v>
      </c>
      <c r="M42" s="7">
        <f>L42</f>
        <v>821.48</v>
      </c>
    </row>
    <row r="43" spans="1:13" x14ac:dyDescent="0.3">
      <c r="A43" s="5" t="s">
        <v>301</v>
      </c>
      <c r="B43" s="7">
        <f>55.38</f>
        <v>55.38</v>
      </c>
      <c r="C43" s="7">
        <f t="shared" si="15"/>
        <v>55.38</v>
      </c>
      <c r="D43" s="7">
        <f t="shared" si="15"/>
        <v>55.38</v>
      </c>
      <c r="E43" s="7">
        <f t="shared" si="15"/>
        <v>55.38</v>
      </c>
      <c r="F43" s="7">
        <f t="shared" ref="F43:H44" si="16">E43</f>
        <v>55.38</v>
      </c>
      <c r="G43" s="7">
        <f t="shared" si="16"/>
        <v>55.38</v>
      </c>
      <c r="H43" s="7">
        <f t="shared" si="16"/>
        <v>55.38</v>
      </c>
      <c r="I43" s="7">
        <f>H43</f>
        <v>55.38</v>
      </c>
      <c r="J43" s="7">
        <f>I43</f>
        <v>55.38</v>
      </c>
      <c r="K43" s="7">
        <f>J43</f>
        <v>55.38</v>
      </c>
      <c r="L43" s="7">
        <f>K43</f>
        <v>55.38</v>
      </c>
      <c r="M43" s="7">
        <f>L43</f>
        <v>55.38</v>
      </c>
    </row>
    <row r="44" spans="1:13" x14ac:dyDescent="0.3">
      <c r="A44" s="5" t="s">
        <v>300</v>
      </c>
      <c r="B44" s="7">
        <f>426.83</f>
        <v>426.83</v>
      </c>
      <c r="C44" s="7">
        <f t="shared" si="15"/>
        <v>426.83</v>
      </c>
      <c r="D44" s="7">
        <f t="shared" si="15"/>
        <v>426.83</v>
      </c>
      <c r="E44" s="7">
        <f t="shared" si="15"/>
        <v>426.83</v>
      </c>
      <c r="F44" s="7">
        <f t="shared" si="16"/>
        <v>426.83</v>
      </c>
      <c r="G44" s="7">
        <f t="shared" si="16"/>
        <v>426.83</v>
      </c>
      <c r="H44" s="7">
        <f t="shared" si="16"/>
        <v>426.83</v>
      </c>
      <c r="I44" s="7">
        <f>H44</f>
        <v>426.83</v>
      </c>
      <c r="J44" s="7">
        <f>I44</f>
        <v>426.83</v>
      </c>
      <c r="K44" s="7">
        <f>J44</f>
        <v>426.83</v>
      </c>
      <c r="L44" s="7">
        <f>K44</f>
        <v>426.83</v>
      </c>
      <c r="M44" s="7">
        <f>L44</f>
        <v>426.83</v>
      </c>
    </row>
    <row r="45" spans="1:13" x14ac:dyDescent="0.3">
      <c r="A45" s="5" t="s">
        <v>299</v>
      </c>
      <c r="B45" s="8">
        <f t="shared" ref="B45:M45" si="17">(((B41)+(B42))+(B43))+(B44)</f>
        <v>2503.69</v>
      </c>
      <c r="C45" s="8">
        <f t="shared" si="17"/>
        <v>2503.69</v>
      </c>
      <c r="D45" s="8">
        <f t="shared" si="17"/>
        <v>2503.69</v>
      </c>
      <c r="E45" s="8">
        <f t="shared" si="17"/>
        <v>2503.69</v>
      </c>
      <c r="F45" s="8">
        <f t="shared" si="17"/>
        <v>2303.69</v>
      </c>
      <c r="G45" s="8">
        <f t="shared" si="17"/>
        <v>2103.69</v>
      </c>
      <c r="H45" s="8">
        <f t="shared" si="17"/>
        <v>1903.69</v>
      </c>
      <c r="I45" s="8">
        <f t="shared" si="17"/>
        <v>1903.69</v>
      </c>
      <c r="J45" s="8">
        <f t="shared" si="17"/>
        <v>1703.69</v>
      </c>
      <c r="K45" s="8">
        <f t="shared" si="17"/>
        <v>1703.69</v>
      </c>
      <c r="L45" s="8">
        <f t="shared" si="17"/>
        <v>1303.69</v>
      </c>
      <c r="M45" s="8">
        <f t="shared" si="17"/>
        <v>1303.69</v>
      </c>
    </row>
    <row r="46" spans="1:13" x14ac:dyDescent="0.3">
      <c r="A46" s="5" t="s">
        <v>298</v>
      </c>
      <c r="B46" s="7">
        <f>0</f>
        <v>0</v>
      </c>
      <c r="C46" s="7">
        <f t="shared" ref="C46:M46" si="18">B46</f>
        <v>0</v>
      </c>
      <c r="D46" s="7">
        <f t="shared" si="18"/>
        <v>0</v>
      </c>
      <c r="E46" s="7">
        <f t="shared" si="18"/>
        <v>0</v>
      </c>
      <c r="F46" s="7">
        <f t="shared" si="18"/>
        <v>0</v>
      </c>
      <c r="G46" s="7">
        <f t="shared" si="18"/>
        <v>0</v>
      </c>
      <c r="H46" s="7">
        <f t="shared" si="18"/>
        <v>0</v>
      </c>
      <c r="I46" s="7">
        <f t="shared" si="18"/>
        <v>0</v>
      </c>
      <c r="J46" s="7">
        <f t="shared" si="18"/>
        <v>0</v>
      </c>
      <c r="K46" s="7">
        <f t="shared" si="18"/>
        <v>0</v>
      </c>
      <c r="L46" s="7">
        <f t="shared" si="18"/>
        <v>0</v>
      </c>
      <c r="M46" s="7">
        <f t="shared" si="18"/>
        <v>0</v>
      </c>
    </row>
    <row r="47" spans="1:13" x14ac:dyDescent="0.3">
      <c r="A47" s="5" t="s">
        <v>297</v>
      </c>
      <c r="B47" s="8">
        <f t="shared" ref="B47:M47" si="19">((((B36)+(B37))+(B40))+(B45))+(B46)</f>
        <v>13101.810000000001</v>
      </c>
      <c r="C47" s="8">
        <f t="shared" si="19"/>
        <v>13190.130000000001</v>
      </c>
      <c r="D47" s="8">
        <f t="shared" si="19"/>
        <v>13279.18</v>
      </c>
      <c r="E47" s="8">
        <f t="shared" si="19"/>
        <v>13368.980000000001</v>
      </c>
      <c r="F47" s="8">
        <f t="shared" si="19"/>
        <v>13259.52</v>
      </c>
      <c r="G47" s="8">
        <f t="shared" si="19"/>
        <v>13150.82</v>
      </c>
      <c r="H47" s="8">
        <f t="shared" si="19"/>
        <v>13042.880000000001</v>
      </c>
      <c r="I47" s="8">
        <f t="shared" si="19"/>
        <v>43135.710000000006</v>
      </c>
      <c r="J47" s="8">
        <f t="shared" si="19"/>
        <v>43029.310000000005</v>
      </c>
      <c r="K47" s="8">
        <f t="shared" si="19"/>
        <v>40777.320000000007</v>
      </c>
      <c r="L47" s="8">
        <f t="shared" si="19"/>
        <v>38097.810000000005</v>
      </c>
      <c r="M47" s="8">
        <f t="shared" si="19"/>
        <v>37811.14</v>
      </c>
    </row>
    <row r="48" spans="1:13" x14ac:dyDescent="0.3">
      <c r="A48" s="5" t="s">
        <v>296</v>
      </c>
      <c r="B48" s="8">
        <f t="shared" ref="B48:M48" si="20">((B27)+(B34))+(B47)</f>
        <v>14273.350000000002</v>
      </c>
      <c r="C48" s="8">
        <f t="shared" si="20"/>
        <v>20109.740000000002</v>
      </c>
      <c r="D48" s="8">
        <f t="shared" si="20"/>
        <v>28007.3</v>
      </c>
      <c r="E48" s="8">
        <f t="shared" si="20"/>
        <v>23044.780000000002</v>
      </c>
      <c r="F48" s="8">
        <f t="shared" si="20"/>
        <v>26541.199999999997</v>
      </c>
      <c r="G48" s="8">
        <f t="shared" si="20"/>
        <v>26737.510000000002</v>
      </c>
      <c r="H48" s="8">
        <f t="shared" si="20"/>
        <v>28506.78</v>
      </c>
      <c r="I48" s="8">
        <f t="shared" si="20"/>
        <v>56868.820000000007</v>
      </c>
      <c r="J48" s="8">
        <f t="shared" si="20"/>
        <v>61342.94</v>
      </c>
      <c r="K48" s="8">
        <f t="shared" si="20"/>
        <v>63180.360000000008</v>
      </c>
      <c r="L48" s="8">
        <f t="shared" si="20"/>
        <v>68350.100000000006</v>
      </c>
      <c r="M48" s="8">
        <f t="shared" si="20"/>
        <v>72235.89</v>
      </c>
    </row>
    <row r="49" spans="1:13" x14ac:dyDescent="0.3">
      <c r="A49" s="5" t="s">
        <v>295</v>
      </c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</row>
    <row r="50" spans="1:13" x14ac:dyDescent="0.3">
      <c r="A50" s="5" t="s">
        <v>294</v>
      </c>
      <c r="B50" s="6"/>
      <c r="C50" s="7">
        <f t="shared" ref="C50:M50" si="21">B50</f>
        <v>0</v>
      </c>
      <c r="D50" s="7">
        <f t="shared" si="21"/>
        <v>0</v>
      </c>
      <c r="E50" s="7">
        <f t="shared" si="21"/>
        <v>0</v>
      </c>
      <c r="F50" s="7">
        <f t="shared" si="21"/>
        <v>0</v>
      </c>
      <c r="G50" s="7">
        <f t="shared" si="21"/>
        <v>0</v>
      </c>
      <c r="H50" s="7">
        <f t="shared" si="21"/>
        <v>0</v>
      </c>
      <c r="I50" s="7">
        <f t="shared" si="21"/>
        <v>0</v>
      </c>
      <c r="J50" s="7">
        <f t="shared" si="21"/>
        <v>0</v>
      </c>
      <c r="K50" s="7">
        <f t="shared" si="21"/>
        <v>0</v>
      </c>
      <c r="L50" s="7">
        <f t="shared" si="21"/>
        <v>0</v>
      </c>
      <c r="M50" s="7">
        <f t="shared" si="21"/>
        <v>0</v>
      </c>
    </row>
    <row r="51" spans="1:13" x14ac:dyDescent="0.3">
      <c r="A51" s="5" t="s">
        <v>293</v>
      </c>
      <c r="B51" s="7">
        <f>53000</f>
        <v>53000</v>
      </c>
      <c r="C51" s="7">
        <f t="shared" ref="C51:M51" si="22">B51</f>
        <v>53000</v>
      </c>
      <c r="D51" s="7">
        <f t="shared" si="22"/>
        <v>53000</v>
      </c>
      <c r="E51" s="7">
        <f t="shared" si="22"/>
        <v>53000</v>
      </c>
      <c r="F51" s="7">
        <f t="shared" si="22"/>
        <v>53000</v>
      </c>
      <c r="G51" s="7">
        <f t="shared" si="22"/>
        <v>53000</v>
      </c>
      <c r="H51" s="7">
        <f t="shared" si="22"/>
        <v>53000</v>
      </c>
      <c r="I51" s="7">
        <f t="shared" si="22"/>
        <v>53000</v>
      </c>
      <c r="J51" s="7">
        <f t="shared" si="22"/>
        <v>53000</v>
      </c>
      <c r="K51" s="7">
        <f t="shared" si="22"/>
        <v>53000</v>
      </c>
      <c r="L51" s="7">
        <f t="shared" si="22"/>
        <v>53000</v>
      </c>
      <c r="M51" s="7">
        <f t="shared" si="22"/>
        <v>53000</v>
      </c>
    </row>
    <row r="52" spans="1:13" x14ac:dyDescent="0.3">
      <c r="A52" s="5" t="s">
        <v>290</v>
      </c>
      <c r="B52" s="6"/>
      <c r="C52" s="7">
        <f>25000</f>
        <v>25000</v>
      </c>
      <c r="D52" s="7">
        <f>35000</f>
        <v>35000</v>
      </c>
      <c r="E52" s="7">
        <f>50000</f>
        <v>50000</v>
      </c>
      <c r="F52" s="7">
        <f>70000</f>
        <v>70000</v>
      </c>
      <c r="G52" s="7">
        <f t="shared" ref="G52:M52" si="23">F52</f>
        <v>70000</v>
      </c>
      <c r="H52" s="7">
        <f t="shared" si="23"/>
        <v>70000</v>
      </c>
      <c r="I52" s="7">
        <f t="shared" si="23"/>
        <v>70000</v>
      </c>
      <c r="J52" s="7">
        <f t="shared" si="23"/>
        <v>70000</v>
      </c>
      <c r="K52" s="7">
        <f t="shared" si="23"/>
        <v>70000</v>
      </c>
      <c r="L52" s="7">
        <f t="shared" si="23"/>
        <v>70000</v>
      </c>
      <c r="M52" s="7">
        <f t="shared" si="23"/>
        <v>70000</v>
      </c>
    </row>
    <row r="53" spans="1:13" x14ac:dyDescent="0.3">
      <c r="A53" s="5" t="s">
        <v>284</v>
      </c>
      <c r="B53" s="8">
        <f t="shared" ref="B53:M53" si="24">((B50)+(B51))+(B52)</f>
        <v>53000</v>
      </c>
      <c r="C53" s="8">
        <f t="shared" si="24"/>
        <v>78000</v>
      </c>
      <c r="D53" s="8">
        <f t="shared" si="24"/>
        <v>88000</v>
      </c>
      <c r="E53" s="8">
        <f t="shared" si="24"/>
        <v>103000</v>
      </c>
      <c r="F53" s="8">
        <f t="shared" si="24"/>
        <v>123000</v>
      </c>
      <c r="G53" s="8">
        <f t="shared" si="24"/>
        <v>123000</v>
      </c>
      <c r="H53" s="8">
        <f t="shared" si="24"/>
        <v>123000</v>
      </c>
      <c r="I53" s="8">
        <f t="shared" si="24"/>
        <v>123000</v>
      </c>
      <c r="J53" s="8">
        <f t="shared" si="24"/>
        <v>123000</v>
      </c>
      <c r="K53" s="8">
        <f t="shared" si="24"/>
        <v>123000</v>
      </c>
      <c r="L53" s="8">
        <f t="shared" si="24"/>
        <v>123000</v>
      </c>
      <c r="M53" s="8">
        <f t="shared" si="24"/>
        <v>123000</v>
      </c>
    </row>
    <row r="54" spans="1:13" x14ac:dyDescent="0.3">
      <c r="A54" s="5" t="s">
        <v>283</v>
      </c>
      <c r="B54" s="8">
        <f t="shared" ref="B54:M54" si="25">B53</f>
        <v>53000</v>
      </c>
      <c r="C54" s="8">
        <f t="shared" si="25"/>
        <v>78000</v>
      </c>
      <c r="D54" s="8">
        <f t="shared" si="25"/>
        <v>88000</v>
      </c>
      <c r="E54" s="8">
        <f t="shared" si="25"/>
        <v>103000</v>
      </c>
      <c r="F54" s="8">
        <f t="shared" si="25"/>
        <v>123000</v>
      </c>
      <c r="G54" s="8">
        <f t="shared" si="25"/>
        <v>123000</v>
      </c>
      <c r="H54" s="8">
        <f t="shared" si="25"/>
        <v>123000</v>
      </c>
      <c r="I54" s="8">
        <f t="shared" si="25"/>
        <v>123000</v>
      </c>
      <c r="J54" s="8">
        <f t="shared" si="25"/>
        <v>123000</v>
      </c>
      <c r="K54" s="8">
        <f t="shared" si="25"/>
        <v>123000</v>
      </c>
      <c r="L54" s="8">
        <f t="shared" si="25"/>
        <v>123000</v>
      </c>
      <c r="M54" s="8">
        <f t="shared" si="25"/>
        <v>123000</v>
      </c>
    </row>
    <row r="55" spans="1:13" x14ac:dyDescent="0.3">
      <c r="A55" s="5" t="s">
        <v>282</v>
      </c>
      <c r="B55" s="8">
        <f t="shared" ref="B55:M55" si="26">(B48)+(B54)</f>
        <v>67273.350000000006</v>
      </c>
      <c r="C55" s="8">
        <f t="shared" si="26"/>
        <v>98109.74</v>
      </c>
      <c r="D55" s="8">
        <f t="shared" si="26"/>
        <v>116007.3</v>
      </c>
      <c r="E55" s="8">
        <f t="shared" si="26"/>
        <v>126044.78</v>
      </c>
      <c r="F55" s="8">
        <f t="shared" si="26"/>
        <v>149541.20000000001</v>
      </c>
      <c r="G55" s="8">
        <f t="shared" si="26"/>
        <v>149737.51</v>
      </c>
      <c r="H55" s="8">
        <f t="shared" si="26"/>
        <v>151506.78</v>
      </c>
      <c r="I55" s="8">
        <f t="shared" si="26"/>
        <v>179868.82</v>
      </c>
      <c r="J55" s="8">
        <f t="shared" si="26"/>
        <v>184342.94</v>
      </c>
      <c r="K55" s="8">
        <f t="shared" si="26"/>
        <v>186180.36000000002</v>
      </c>
      <c r="L55" s="8">
        <f t="shared" si="26"/>
        <v>191350.1</v>
      </c>
      <c r="M55" s="8">
        <f t="shared" si="26"/>
        <v>195235.89</v>
      </c>
    </row>
    <row r="56" spans="1:13" x14ac:dyDescent="0.3">
      <c r="A56" s="5" t="s">
        <v>281</v>
      </c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</row>
    <row r="57" spans="1:13" x14ac:dyDescent="0.3">
      <c r="A57" s="5" t="s">
        <v>280</v>
      </c>
      <c r="B57" s="6"/>
      <c r="C57" s="7">
        <f t="shared" ref="C57:F60" si="27">B57</f>
        <v>0</v>
      </c>
      <c r="D57" s="7">
        <f t="shared" si="27"/>
        <v>0</v>
      </c>
      <c r="E57" s="7">
        <f t="shared" si="27"/>
        <v>0</v>
      </c>
      <c r="F57" s="7">
        <f t="shared" si="27"/>
        <v>0</v>
      </c>
      <c r="G57" s="7">
        <f>2500</f>
        <v>2500</v>
      </c>
      <c r="H57" s="7">
        <f t="shared" ref="H57:M59" si="28">G57</f>
        <v>2500</v>
      </c>
      <c r="I57" s="7">
        <f t="shared" si="28"/>
        <v>2500</v>
      </c>
      <c r="J57" s="7">
        <f t="shared" si="28"/>
        <v>2500</v>
      </c>
      <c r="K57" s="7">
        <f t="shared" si="28"/>
        <v>2500</v>
      </c>
      <c r="L57" s="7">
        <f t="shared" si="28"/>
        <v>2500</v>
      </c>
      <c r="M57" s="7">
        <f t="shared" si="28"/>
        <v>2500</v>
      </c>
    </row>
    <row r="58" spans="1:13" x14ac:dyDescent="0.3">
      <c r="A58" s="5" t="s">
        <v>279</v>
      </c>
      <c r="B58" s="6"/>
      <c r="C58" s="7">
        <f t="shared" si="27"/>
        <v>0</v>
      </c>
      <c r="D58" s="7">
        <f t="shared" si="27"/>
        <v>0</v>
      </c>
      <c r="E58" s="7">
        <f t="shared" si="27"/>
        <v>0</v>
      </c>
      <c r="F58" s="7">
        <f t="shared" si="27"/>
        <v>0</v>
      </c>
      <c r="G58" s="7">
        <f>F58</f>
        <v>0</v>
      </c>
      <c r="H58" s="7">
        <f t="shared" si="28"/>
        <v>0</v>
      </c>
      <c r="I58" s="7">
        <f t="shared" si="28"/>
        <v>0</v>
      </c>
      <c r="J58" s="7">
        <f t="shared" si="28"/>
        <v>0</v>
      </c>
      <c r="K58" s="7">
        <f t="shared" si="28"/>
        <v>0</v>
      </c>
      <c r="L58" s="7">
        <f t="shared" si="28"/>
        <v>0</v>
      </c>
      <c r="M58" s="7">
        <f t="shared" si="28"/>
        <v>0</v>
      </c>
    </row>
    <row r="59" spans="1:13" x14ac:dyDescent="0.3">
      <c r="A59" s="5" t="s">
        <v>278</v>
      </c>
      <c r="B59" s="6"/>
      <c r="C59" s="7">
        <f t="shared" si="27"/>
        <v>0</v>
      </c>
      <c r="D59" s="7">
        <f t="shared" si="27"/>
        <v>0</v>
      </c>
      <c r="E59" s="7">
        <f t="shared" si="27"/>
        <v>0</v>
      </c>
      <c r="F59" s="7">
        <f t="shared" si="27"/>
        <v>0</v>
      </c>
      <c r="G59" s="7">
        <f>F59</f>
        <v>0</v>
      </c>
      <c r="H59" s="7">
        <f t="shared" si="28"/>
        <v>0</v>
      </c>
      <c r="I59" s="7">
        <f t="shared" si="28"/>
        <v>0</v>
      </c>
      <c r="J59" s="7">
        <f t="shared" si="28"/>
        <v>0</v>
      </c>
      <c r="K59" s="7">
        <f t="shared" si="28"/>
        <v>0</v>
      </c>
      <c r="L59" s="7">
        <f t="shared" si="28"/>
        <v>0</v>
      </c>
      <c r="M59" s="7">
        <f t="shared" si="28"/>
        <v>0</v>
      </c>
    </row>
    <row r="60" spans="1:13" x14ac:dyDescent="0.3">
      <c r="A60" s="5" t="s">
        <v>277</v>
      </c>
      <c r="B60" s="7">
        <f>30550</f>
        <v>30550</v>
      </c>
      <c r="C60" s="7">
        <f t="shared" si="27"/>
        <v>30550</v>
      </c>
      <c r="D60" s="7">
        <f t="shared" si="27"/>
        <v>30550</v>
      </c>
      <c r="E60" s="7">
        <f t="shared" si="27"/>
        <v>30550</v>
      </c>
      <c r="F60" s="7">
        <f t="shared" si="27"/>
        <v>30550</v>
      </c>
      <c r="G60" s="7">
        <f>F60</f>
        <v>30550</v>
      </c>
      <c r="H60" s="7">
        <f t="shared" ref="H60:L61" si="29">G60</f>
        <v>30550</v>
      </c>
      <c r="I60" s="7">
        <f t="shared" si="29"/>
        <v>30550</v>
      </c>
      <c r="J60" s="7">
        <f t="shared" si="29"/>
        <v>30550</v>
      </c>
      <c r="K60" s="7">
        <f t="shared" si="29"/>
        <v>30550</v>
      </c>
      <c r="L60" s="7">
        <f t="shared" si="29"/>
        <v>30550</v>
      </c>
      <c r="M60" s="7">
        <f>0</f>
        <v>0</v>
      </c>
    </row>
    <row r="61" spans="1:13" x14ac:dyDescent="0.3">
      <c r="A61" s="5" t="s">
        <v>276</v>
      </c>
      <c r="B61" s="7">
        <f>-20923.08</f>
        <v>-20923.080000000002</v>
      </c>
      <c r="C61" s="7">
        <f>-20623.04</f>
        <v>-20623.04</v>
      </c>
      <c r="D61" s="7">
        <f>-20298.04</f>
        <v>-20298.04</v>
      </c>
      <c r="E61" s="7">
        <f>D61</f>
        <v>-20298.04</v>
      </c>
      <c r="F61" s="7">
        <f>E61</f>
        <v>-20298.04</v>
      </c>
      <c r="G61" s="7">
        <f>F61</f>
        <v>-20298.04</v>
      </c>
      <c r="H61" s="7">
        <f t="shared" si="29"/>
        <v>-20298.04</v>
      </c>
      <c r="I61" s="7">
        <f t="shared" si="29"/>
        <v>-20298.04</v>
      </c>
      <c r="J61" s="7">
        <f t="shared" si="29"/>
        <v>-20298.04</v>
      </c>
      <c r="K61" s="7">
        <f t="shared" si="29"/>
        <v>-20298.04</v>
      </c>
      <c r="L61" s="7">
        <f t="shared" si="29"/>
        <v>-20298.04</v>
      </c>
      <c r="M61" s="7">
        <f>625.04</f>
        <v>625.04</v>
      </c>
    </row>
    <row r="62" spans="1:13" x14ac:dyDescent="0.3">
      <c r="A62" s="5" t="s">
        <v>275</v>
      </c>
      <c r="B62" s="8">
        <f t="shared" ref="B62:M62" si="30">((B59)+(B60))+(B61)</f>
        <v>9626.9199999999983</v>
      </c>
      <c r="C62" s="8">
        <f t="shared" si="30"/>
        <v>9926.9599999999991</v>
      </c>
      <c r="D62" s="8">
        <f t="shared" si="30"/>
        <v>10251.959999999999</v>
      </c>
      <c r="E62" s="8">
        <f t="shared" si="30"/>
        <v>10251.959999999999</v>
      </c>
      <c r="F62" s="8">
        <f t="shared" si="30"/>
        <v>10251.959999999999</v>
      </c>
      <c r="G62" s="8">
        <f t="shared" si="30"/>
        <v>10251.959999999999</v>
      </c>
      <c r="H62" s="8">
        <f t="shared" si="30"/>
        <v>10251.959999999999</v>
      </c>
      <c r="I62" s="8">
        <f t="shared" si="30"/>
        <v>10251.959999999999</v>
      </c>
      <c r="J62" s="8">
        <f t="shared" si="30"/>
        <v>10251.959999999999</v>
      </c>
      <c r="K62" s="8">
        <f t="shared" si="30"/>
        <v>10251.959999999999</v>
      </c>
      <c r="L62" s="8">
        <f t="shared" si="30"/>
        <v>10251.959999999999</v>
      </c>
      <c r="M62" s="8">
        <f t="shared" si="30"/>
        <v>625.04</v>
      </c>
    </row>
    <row r="63" spans="1:13" x14ac:dyDescent="0.3">
      <c r="A63" s="5" t="s">
        <v>274</v>
      </c>
      <c r="B63" s="6"/>
      <c r="C63" s="7">
        <f t="shared" ref="C63:M63" si="31">B63</f>
        <v>0</v>
      </c>
      <c r="D63" s="7">
        <f t="shared" si="31"/>
        <v>0</v>
      </c>
      <c r="E63" s="7">
        <f t="shared" si="31"/>
        <v>0</v>
      </c>
      <c r="F63" s="7">
        <f t="shared" si="31"/>
        <v>0</v>
      </c>
      <c r="G63" s="7">
        <f t="shared" si="31"/>
        <v>0</v>
      </c>
      <c r="H63" s="7">
        <f t="shared" si="31"/>
        <v>0</v>
      </c>
      <c r="I63" s="7">
        <f t="shared" si="31"/>
        <v>0</v>
      </c>
      <c r="J63" s="7">
        <f t="shared" si="31"/>
        <v>0</v>
      </c>
      <c r="K63" s="7">
        <f t="shared" si="31"/>
        <v>0</v>
      </c>
      <c r="L63" s="7">
        <f t="shared" si="31"/>
        <v>0</v>
      </c>
      <c r="M63" s="7">
        <f t="shared" si="31"/>
        <v>0</v>
      </c>
    </row>
    <row r="64" spans="1:13" x14ac:dyDescent="0.3">
      <c r="A64" s="5" t="s">
        <v>273</v>
      </c>
      <c r="B64" s="7">
        <f>0</f>
        <v>0</v>
      </c>
      <c r="C64" s="7">
        <f>B64</f>
        <v>0</v>
      </c>
      <c r="D64" s="7">
        <f>C64</f>
        <v>0</v>
      </c>
      <c r="E64" s="7">
        <f>801</f>
        <v>801</v>
      </c>
      <c r="F64" s="7">
        <f>1</f>
        <v>1</v>
      </c>
      <c r="G64" s="7">
        <f t="shared" ref="G64:L64" si="32">F64</f>
        <v>1</v>
      </c>
      <c r="H64" s="7">
        <f t="shared" si="32"/>
        <v>1</v>
      </c>
      <c r="I64" s="7">
        <f t="shared" si="32"/>
        <v>1</v>
      </c>
      <c r="J64" s="7">
        <f t="shared" si="32"/>
        <v>1</v>
      </c>
      <c r="K64" s="7">
        <f t="shared" si="32"/>
        <v>1</v>
      </c>
      <c r="L64" s="7">
        <f t="shared" si="32"/>
        <v>1</v>
      </c>
      <c r="M64" s="7">
        <f>0</f>
        <v>0</v>
      </c>
    </row>
    <row r="65" spans="1:13" x14ac:dyDescent="0.3">
      <c r="A65" s="5" t="s">
        <v>272</v>
      </c>
      <c r="B65" s="8">
        <f t="shared" ref="B65:M65" si="33">(B63)+(B64)</f>
        <v>0</v>
      </c>
      <c r="C65" s="8">
        <f t="shared" si="33"/>
        <v>0</v>
      </c>
      <c r="D65" s="8">
        <f t="shared" si="33"/>
        <v>0</v>
      </c>
      <c r="E65" s="8">
        <f t="shared" si="33"/>
        <v>801</v>
      </c>
      <c r="F65" s="8">
        <f t="shared" si="33"/>
        <v>1</v>
      </c>
      <c r="G65" s="8">
        <f t="shared" si="33"/>
        <v>1</v>
      </c>
      <c r="H65" s="8">
        <f t="shared" si="33"/>
        <v>1</v>
      </c>
      <c r="I65" s="8">
        <f t="shared" si="33"/>
        <v>1</v>
      </c>
      <c r="J65" s="8">
        <f t="shared" si="33"/>
        <v>1</v>
      </c>
      <c r="K65" s="8">
        <f t="shared" si="33"/>
        <v>1</v>
      </c>
      <c r="L65" s="8">
        <f t="shared" si="33"/>
        <v>1</v>
      </c>
      <c r="M65" s="8">
        <f t="shared" si="33"/>
        <v>0</v>
      </c>
    </row>
    <row r="66" spans="1:13" x14ac:dyDescent="0.3">
      <c r="A66" s="5" t="s">
        <v>271</v>
      </c>
      <c r="B66" s="8">
        <f t="shared" ref="B66:M66" si="34">((B58)+(B62))+(B65)</f>
        <v>9626.9199999999983</v>
      </c>
      <c r="C66" s="8">
        <f t="shared" si="34"/>
        <v>9926.9599999999991</v>
      </c>
      <c r="D66" s="8">
        <f t="shared" si="34"/>
        <v>10251.959999999999</v>
      </c>
      <c r="E66" s="8">
        <f t="shared" si="34"/>
        <v>11052.96</v>
      </c>
      <c r="F66" s="8">
        <f t="shared" si="34"/>
        <v>10252.959999999999</v>
      </c>
      <c r="G66" s="8">
        <f t="shared" si="34"/>
        <v>10252.959999999999</v>
      </c>
      <c r="H66" s="8">
        <f t="shared" si="34"/>
        <v>10252.959999999999</v>
      </c>
      <c r="I66" s="8">
        <f t="shared" si="34"/>
        <v>10252.959999999999</v>
      </c>
      <c r="J66" s="8">
        <f t="shared" si="34"/>
        <v>10252.959999999999</v>
      </c>
      <c r="K66" s="8">
        <f t="shared" si="34"/>
        <v>10252.959999999999</v>
      </c>
      <c r="L66" s="8">
        <f t="shared" si="34"/>
        <v>10252.959999999999</v>
      </c>
      <c r="M66" s="8">
        <f t="shared" si="34"/>
        <v>625.04</v>
      </c>
    </row>
    <row r="67" spans="1:13" x14ac:dyDescent="0.3">
      <c r="A67" s="5" t="s">
        <v>270</v>
      </c>
      <c r="B67" s="7">
        <f>-48633.32</f>
        <v>-48633.32</v>
      </c>
      <c r="C67" s="7">
        <f t="shared" ref="C67:L67" si="35">B67</f>
        <v>-48633.32</v>
      </c>
      <c r="D67" s="7">
        <f t="shared" si="35"/>
        <v>-48633.32</v>
      </c>
      <c r="E67" s="7">
        <f t="shared" si="35"/>
        <v>-48633.32</v>
      </c>
      <c r="F67" s="7">
        <f t="shared" si="35"/>
        <v>-48633.32</v>
      </c>
      <c r="G67" s="7">
        <f t="shared" si="35"/>
        <v>-48633.32</v>
      </c>
      <c r="H67" s="7">
        <f t="shared" si="35"/>
        <v>-48633.32</v>
      </c>
      <c r="I67" s="7">
        <f t="shared" si="35"/>
        <v>-48633.32</v>
      </c>
      <c r="J67" s="7">
        <f t="shared" si="35"/>
        <v>-48633.32</v>
      </c>
      <c r="K67" s="7">
        <f t="shared" si="35"/>
        <v>-48633.32</v>
      </c>
      <c r="L67" s="7">
        <f t="shared" si="35"/>
        <v>-48633.32</v>
      </c>
      <c r="M67" s="7">
        <f>-39005.4</f>
        <v>-39005.4</v>
      </c>
    </row>
    <row r="68" spans="1:13" x14ac:dyDescent="0.3">
      <c r="A68" s="5" t="s">
        <v>265</v>
      </c>
      <c r="B68" s="7">
        <f>255.27</f>
        <v>255.27</v>
      </c>
      <c r="C68" s="7">
        <f>-8428.15</f>
        <v>-8428.15</v>
      </c>
      <c r="D68" s="7">
        <f>-25310.14</f>
        <v>-25310.14</v>
      </c>
      <c r="E68" s="7">
        <f>-38024.1</f>
        <v>-38024.1</v>
      </c>
      <c r="F68" s="7">
        <f>-41150.23</f>
        <v>-41150.230000000003</v>
      </c>
      <c r="G68" s="7">
        <f>-66394.37</f>
        <v>-66394.37</v>
      </c>
      <c r="H68" s="7">
        <f>-76938.77</f>
        <v>-76938.77</v>
      </c>
      <c r="I68" s="7">
        <f>-85300.49</f>
        <v>-85300.49</v>
      </c>
      <c r="J68" s="7">
        <f>-84238.77</f>
        <v>-84238.77</v>
      </c>
      <c r="K68" s="7">
        <f>-85689.35</f>
        <v>-85689.35</v>
      </c>
      <c r="L68" s="7">
        <f>-89264.93</f>
        <v>-89264.93</v>
      </c>
      <c r="M68" s="7">
        <f>-92323.67</f>
        <v>-92323.67</v>
      </c>
    </row>
    <row r="69" spans="1:13" x14ac:dyDescent="0.3">
      <c r="A69" s="5" t="s">
        <v>264</v>
      </c>
      <c r="B69" s="8">
        <f t="shared" ref="B69:M69" si="36">(((B57)+(B66))+(B67))+(B68)</f>
        <v>-38751.130000000005</v>
      </c>
      <c r="C69" s="8">
        <f t="shared" si="36"/>
        <v>-47134.51</v>
      </c>
      <c r="D69" s="8">
        <f t="shared" si="36"/>
        <v>-63691.5</v>
      </c>
      <c r="E69" s="8">
        <f t="shared" si="36"/>
        <v>-75604.459999999992</v>
      </c>
      <c r="F69" s="8">
        <f t="shared" si="36"/>
        <v>-79530.59</v>
      </c>
      <c r="G69" s="8">
        <f t="shared" si="36"/>
        <v>-102274.73</v>
      </c>
      <c r="H69" s="8">
        <f t="shared" si="36"/>
        <v>-112819.13</v>
      </c>
      <c r="I69" s="8">
        <f t="shared" si="36"/>
        <v>-121180.85</v>
      </c>
      <c r="J69" s="8">
        <f t="shared" si="36"/>
        <v>-120119.13</v>
      </c>
      <c r="K69" s="8">
        <f t="shared" si="36"/>
        <v>-121569.71</v>
      </c>
      <c r="L69" s="8">
        <f t="shared" si="36"/>
        <v>-125145.29</v>
      </c>
      <c r="M69" s="8">
        <f t="shared" si="36"/>
        <v>-128204.03</v>
      </c>
    </row>
    <row r="70" spans="1:13" x14ac:dyDescent="0.3">
      <c r="A70" s="5" t="s">
        <v>263</v>
      </c>
      <c r="B70" s="8">
        <f t="shared" ref="B70:M70" si="37">(B55)+(B69)</f>
        <v>28522.22</v>
      </c>
      <c r="C70" s="8">
        <f t="shared" si="37"/>
        <v>50975.23</v>
      </c>
      <c r="D70" s="8">
        <f t="shared" si="37"/>
        <v>52315.8</v>
      </c>
      <c r="E70" s="8">
        <f t="shared" si="37"/>
        <v>50440.320000000007</v>
      </c>
      <c r="F70" s="8">
        <f t="shared" si="37"/>
        <v>70010.610000000015</v>
      </c>
      <c r="G70" s="8">
        <f t="shared" si="37"/>
        <v>47462.780000000013</v>
      </c>
      <c r="H70" s="8">
        <f t="shared" si="37"/>
        <v>38687.649999999994</v>
      </c>
      <c r="I70" s="8">
        <f t="shared" si="37"/>
        <v>58687.97</v>
      </c>
      <c r="J70" s="8">
        <f t="shared" si="37"/>
        <v>64223.81</v>
      </c>
      <c r="K70" s="8">
        <f t="shared" si="37"/>
        <v>64610.650000000009</v>
      </c>
      <c r="L70" s="8">
        <f t="shared" si="37"/>
        <v>66204.810000000012</v>
      </c>
      <c r="M70" s="8">
        <f t="shared" si="37"/>
        <v>67031.860000000015</v>
      </c>
    </row>
    <row r="71" spans="1:13" x14ac:dyDescent="0.3">
      <c r="A71" s="5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</row>
    <row r="74" spans="1:13" x14ac:dyDescent="0.3">
      <c r="A74" s="12" t="s">
        <v>366</v>
      </c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3" tint="0.59999389629810485"/>
  </sheetPr>
  <dimension ref="A1"/>
  <sheetViews>
    <sheetView workbookViewId="0"/>
  </sheetViews>
  <sheetFormatPr defaultColWidth="9" defaultRowHeight="14.4" x14ac:dyDescent="0.3"/>
  <cols>
    <col min="1" max="16384" width="9" style="1"/>
  </cols>
  <sheetData/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5" tint="0.79998168889431442"/>
  </sheetPr>
  <dimension ref="A1:H41"/>
  <sheetViews>
    <sheetView workbookViewId="0">
      <selection sqref="A1:H1"/>
    </sheetView>
  </sheetViews>
  <sheetFormatPr defaultRowHeight="14.4" x14ac:dyDescent="0.3"/>
  <cols>
    <col min="1" max="1" width="69.5546875" customWidth="1"/>
    <col min="2" max="2" width="12" customWidth="1"/>
    <col min="3" max="3" width="11.21875" customWidth="1"/>
    <col min="4" max="6" width="10.33203125" customWidth="1"/>
    <col min="7" max="7" width="12" customWidth="1"/>
    <col min="8" max="8" width="13.77734375" customWidth="1"/>
  </cols>
  <sheetData>
    <row r="1" spans="1:8" ht="17.399999999999999" x14ac:dyDescent="0.3">
      <c r="A1" s="370" t="s">
        <v>1</v>
      </c>
      <c r="B1" s="371"/>
      <c r="C1" s="371"/>
      <c r="D1" s="371"/>
      <c r="E1" s="371"/>
      <c r="F1" s="371"/>
      <c r="G1" s="371"/>
      <c r="H1" s="371"/>
    </row>
    <row r="2" spans="1:8" ht="17.399999999999999" x14ac:dyDescent="0.3">
      <c r="A2" s="370" t="s">
        <v>382</v>
      </c>
      <c r="B2" s="371"/>
      <c r="C2" s="371"/>
      <c r="D2" s="371"/>
      <c r="E2" s="371"/>
      <c r="F2" s="371"/>
      <c r="G2" s="371"/>
      <c r="H2" s="371"/>
    </row>
    <row r="3" spans="1:8" x14ac:dyDescent="0.3">
      <c r="A3" s="372" t="s">
        <v>511</v>
      </c>
      <c r="B3" s="371"/>
      <c r="C3" s="371"/>
      <c r="D3" s="371"/>
      <c r="E3" s="371"/>
      <c r="F3" s="371"/>
      <c r="G3" s="371"/>
      <c r="H3" s="371"/>
    </row>
    <row r="5" spans="1:8" x14ac:dyDescent="0.3">
      <c r="A5" s="351"/>
      <c r="B5" s="347" t="s">
        <v>471</v>
      </c>
      <c r="C5" s="347" t="s">
        <v>472</v>
      </c>
      <c r="D5" s="347" t="s">
        <v>473</v>
      </c>
      <c r="E5" s="347" t="s">
        <v>482</v>
      </c>
      <c r="F5" s="347" t="s">
        <v>483</v>
      </c>
      <c r="G5" s="347" t="s">
        <v>510</v>
      </c>
      <c r="H5" s="347" t="s">
        <v>16</v>
      </c>
    </row>
    <row r="6" spans="1:8" x14ac:dyDescent="0.3">
      <c r="A6" s="352" t="s">
        <v>383</v>
      </c>
      <c r="B6" s="348"/>
      <c r="C6" s="348"/>
      <c r="D6" s="348"/>
      <c r="E6" s="348"/>
      <c r="F6" s="348"/>
      <c r="G6" s="348"/>
      <c r="H6" s="348"/>
    </row>
    <row r="7" spans="1:8" x14ac:dyDescent="0.3">
      <c r="A7" s="352" t="s">
        <v>384</v>
      </c>
      <c r="B7" s="349">
        <f>283574.9</f>
        <v>283574.90000000002</v>
      </c>
      <c r="C7" s="349">
        <f>-67333.81</f>
        <v>-67333.81</v>
      </c>
      <c r="D7" s="349">
        <f>476365.95</f>
        <v>476365.95</v>
      </c>
      <c r="E7" s="349">
        <f>579387.27</f>
        <v>579387.27</v>
      </c>
      <c r="F7" s="349">
        <f>407620.71</f>
        <v>407620.71</v>
      </c>
      <c r="G7" s="349">
        <f>680020.07</f>
        <v>680020.07</v>
      </c>
      <c r="H7" s="349">
        <f t="shared" ref="H7:H30" si="0">(((((B7)+(C7))+(D7))+(E7))+(F7))+(G7)</f>
        <v>2359635.09</v>
      </c>
    </row>
    <row r="8" spans="1:8" x14ac:dyDescent="0.3">
      <c r="A8" s="352" t="s">
        <v>385</v>
      </c>
      <c r="B8" s="348"/>
      <c r="C8" s="348"/>
      <c r="D8" s="348"/>
      <c r="E8" s="348"/>
      <c r="F8" s="348"/>
      <c r="G8" s="348"/>
      <c r="H8" s="349">
        <f t="shared" si="0"/>
        <v>0</v>
      </c>
    </row>
    <row r="9" spans="1:8" x14ac:dyDescent="0.3">
      <c r="A9" s="352" t="s">
        <v>387</v>
      </c>
      <c r="B9" s="349">
        <f>-51183.82</f>
        <v>-51183.82</v>
      </c>
      <c r="C9" s="349">
        <f>3278.14</f>
        <v>3278.14</v>
      </c>
      <c r="D9" s="349">
        <f>79121.96</f>
        <v>79121.960000000006</v>
      </c>
      <c r="E9" s="349">
        <f>85793.7</f>
        <v>85793.7</v>
      </c>
      <c r="F9" s="349">
        <f>-561448.25</f>
        <v>-561448.25</v>
      </c>
      <c r="G9" s="349">
        <f>-567282.49</f>
        <v>-567282.49</v>
      </c>
      <c r="H9" s="349">
        <f t="shared" si="0"/>
        <v>-1011720.76</v>
      </c>
    </row>
    <row r="10" spans="1:8" x14ac:dyDescent="0.3">
      <c r="A10" s="352" t="s">
        <v>388</v>
      </c>
      <c r="B10" s="349">
        <f t="shared" ref="B10:G10" si="1">219.31</f>
        <v>219.31</v>
      </c>
      <c r="C10" s="349">
        <f t="shared" si="1"/>
        <v>219.31</v>
      </c>
      <c r="D10" s="349">
        <f t="shared" si="1"/>
        <v>219.31</v>
      </c>
      <c r="E10" s="349">
        <f t="shared" si="1"/>
        <v>219.31</v>
      </c>
      <c r="F10" s="349">
        <f t="shared" si="1"/>
        <v>219.31</v>
      </c>
      <c r="G10" s="349">
        <f t="shared" si="1"/>
        <v>219.31</v>
      </c>
      <c r="H10" s="349">
        <f t="shared" si="0"/>
        <v>1315.86</v>
      </c>
    </row>
    <row r="11" spans="1:8" x14ac:dyDescent="0.3">
      <c r="A11" s="352" t="s">
        <v>389</v>
      </c>
      <c r="B11" s="349">
        <f>9208.84</f>
        <v>9208.84</v>
      </c>
      <c r="C11" s="349">
        <f>-161887.96</f>
        <v>-161887.96</v>
      </c>
      <c r="D11" s="349">
        <f>21835.93</f>
        <v>21835.93</v>
      </c>
      <c r="E11" s="349">
        <f>-24210.63</f>
        <v>-24210.63</v>
      </c>
      <c r="F11" s="349">
        <f>364330.97</f>
        <v>364330.97</v>
      </c>
      <c r="G11" s="349">
        <f>-171347.63</f>
        <v>-171347.63</v>
      </c>
      <c r="H11" s="349">
        <f t="shared" si="0"/>
        <v>37929.51999999996</v>
      </c>
    </row>
    <row r="12" spans="1:8" x14ac:dyDescent="0.3">
      <c r="A12" s="352" t="s">
        <v>434</v>
      </c>
      <c r="B12" s="349">
        <f>-37307.21</f>
        <v>-37307.21</v>
      </c>
      <c r="C12" s="349">
        <f>-2732.22</f>
        <v>-2732.22</v>
      </c>
      <c r="D12" s="349">
        <f>24335.07</f>
        <v>24335.07</v>
      </c>
      <c r="E12" s="349">
        <f>-20728.19</f>
        <v>-20728.189999999999</v>
      </c>
      <c r="F12" s="349">
        <f>70551.68</f>
        <v>70551.679999999993</v>
      </c>
      <c r="G12" s="349">
        <f>-76938.63</f>
        <v>-76938.63</v>
      </c>
      <c r="H12" s="349">
        <f t="shared" si="0"/>
        <v>-42819.500000000015</v>
      </c>
    </row>
    <row r="13" spans="1:8" x14ac:dyDescent="0.3">
      <c r="A13" s="352" t="s">
        <v>390</v>
      </c>
      <c r="B13" s="349">
        <f>141387.99</f>
        <v>141387.99</v>
      </c>
      <c r="C13" s="349">
        <f>-33783.68</f>
        <v>-33783.68</v>
      </c>
      <c r="D13" s="349">
        <f>-81386.65</f>
        <v>-81386.649999999994</v>
      </c>
      <c r="E13" s="349">
        <f>-82778.09</f>
        <v>-82778.09</v>
      </c>
      <c r="F13" s="349">
        <f>-22483.66</f>
        <v>-22483.66</v>
      </c>
      <c r="G13" s="349">
        <f>-947.17</f>
        <v>-947.17</v>
      </c>
      <c r="H13" s="349">
        <f t="shared" si="0"/>
        <v>-79991.259999999995</v>
      </c>
    </row>
    <row r="14" spans="1:8" x14ac:dyDescent="0.3">
      <c r="A14" s="352" t="s">
        <v>391</v>
      </c>
      <c r="B14" s="349">
        <f>-11406.9</f>
        <v>-11406.9</v>
      </c>
      <c r="C14" s="349">
        <f>571.8</f>
        <v>571.79999999999995</v>
      </c>
      <c r="D14" s="349">
        <f>6610.58</f>
        <v>6610.58</v>
      </c>
      <c r="E14" s="349">
        <f>-6843.79</f>
        <v>-6843.79</v>
      </c>
      <c r="F14" s="349">
        <f>15935.41</f>
        <v>15935.41</v>
      </c>
      <c r="G14" s="349">
        <f>6525.64</f>
        <v>6525.64</v>
      </c>
      <c r="H14" s="349">
        <f t="shared" si="0"/>
        <v>11392.739999999998</v>
      </c>
    </row>
    <row r="15" spans="1:8" x14ac:dyDescent="0.3">
      <c r="A15" s="352" t="s">
        <v>435</v>
      </c>
      <c r="B15" s="348"/>
      <c r="C15" s="349">
        <f>6.42</f>
        <v>6.42</v>
      </c>
      <c r="D15" s="348"/>
      <c r="E15" s="348"/>
      <c r="F15" s="349">
        <f>25</f>
        <v>25</v>
      </c>
      <c r="G15" s="349">
        <f>18.54</f>
        <v>18.54</v>
      </c>
      <c r="H15" s="349">
        <f t="shared" si="0"/>
        <v>49.96</v>
      </c>
    </row>
    <row r="16" spans="1:8" x14ac:dyDescent="0.3">
      <c r="A16" s="352" t="s">
        <v>436</v>
      </c>
      <c r="B16" s="349">
        <f>-171240.42</f>
        <v>-171240.42</v>
      </c>
      <c r="C16" s="349">
        <f>146659.16</f>
        <v>146659.16</v>
      </c>
      <c r="D16" s="349">
        <f>-34587.82</f>
        <v>-34587.82</v>
      </c>
      <c r="E16" s="349">
        <f>-136045.09</f>
        <v>-136045.09</v>
      </c>
      <c r="F16" s="349">
        <f>65326.73</f>
        <v>65326.73</v>
      </c>
      <c r="G16" s="349">
        <f>13487.94</f>
        <v>13487.94</v>
      </c>
      <c r="H16" s="349">
        <f t="shared" si="0"/>
        <v>-116399.5</v>
      </c>
    </row>
    <row r="17" spans="1:8" x14ac:dyDescent="0.3">
      <c r="A17" s="352" t="s">
        <v>437</v>
      </c>
      <c r="B17" s="349">
        <f>-58193.85</f>
        <v>-58193.85</v>
      </c>
      <c r="C17" s="349">
        <f>32569.09</f>
        <v>32569.09</v>
      </c>
      <c r="D17" s="349">
        <f>108755.36</f>
        <v>108755.36</v>
      </c>
      <c r="E17" s="349">
        <f>-96309.55</f>
        <v>-96309.55</v>
      </c>
      <c r="F17" s="349">
        <f>-152492.18</f>
        <v>-152492.18</v>
      </c>
      <c r="G17" s="349">
        <f>552.92</f>
        <v>552.91999999999996</v>
      </c>
      <c r="H17" s="349">
        <f t="shared" si="0"/>
        <v>-165118.21</v>
      </c>
    </row>
    <row r="18" spans="1:8" x14ac:dyDescent="0.3">
      <c r="A18" s="352" t="s">
        <v>392</v>
      </c>
      <c r="B18" s="349">
        <f>-124991</f>
        <v>-124991</v>
      </c>
      <c r="C18" s="349">
        <f>58986.48</f>
        <v>58986.48</v>
      </c>
      <c r="D18" s="349">
        <f>25.16</f>
        <v>25.16</v>
      </c>
      <c r="E18" s="349">
        <f>-105949.93</f>
        <v>-105949.93</v>
      </c>
      <c r="F18" s="349">
        <f>-30059.27</f>
        <v>-30059.27</v>
      </c>
      <c r="G18" s="349">
        <f>-79965.14</f>
        <v>-79965.14</v>
      </c>
      <c r="H18" s="349">
        <f t="shared" si="0"/>
        <v>-281953.69999999995</v>
      </c>
    </row>
    <row r="19" spans="1:8" x14ac:dyDescent="0.3">
      <c r="A19" s="352" t="s">
        <v>438</v>
      </c>
      <c r="B19" s="349">
        <f>111.5</f>
        <v>111.5</v>
      </c>
      <c r="C19" s="349">
        <f>-350.73</f>
        <v>-350.73</v>
      </c>
      <c r="D19" s="349">
        <f>27.54</f>
        <v>27.54</v>
      </c>
      <c r="E19" s="349">
        <f>799.92</f>
        <v>799.92</v>
      </c>
      <c r="F19" s="349">
        <f>-760.33</f>
        <v>-760.33</v>
      </c>
      <c r="G19" s="349">
        <f>91.22</f>
        <v>91.22</v>
      </c>
      <c r="H19" s="349">
        <f t="shared" si="0"/>
        <v>-80.880000000000138</v>
      </c>
    </row>
    <row r="20" spans="1:8" x14ac:dyDescent="0.3">
      <c r="A20" s="352" t="s">
        <v>524</v>
      </c>
      <c r="B20" s="348"/>
      <c r="C20" s="348"/>
      <c r="D20" s="348"/>
      <c r="E20" s="348"/>
      <c r="F20" s="348"/>
      <c r="G20" s="349">
        <f>-111.67</f>
        <v>-111.67</v>
      </c>
      <c r="H20" s="349">
        <f t="shared" si="0"/>
        <v>-111.67</v>
      </c>
    </row>
    <row r="21" spans="1:8" x14ac:dyDescent="0.3">
      <c r="A21" s="352" t="s">
        <v>525</v>
      </c>
      <c r="B21" s="349">
        <f>112934.07</f>
        <v>112934.07</v>
      </c>
      <c r="C21" s="348"/>
      <c r="D21" s="348"/>
      <c r="E21" s="348"/>
      <c r="F21" s="348"/>
      <c r="G21" s="348"/>
      <c r="H21" s="349">
        <f t="shared" si="0"/>
        <v>112934.07</v>
      </c>
    </row>
    <row r="22" spans="1:8" x14ac:dyDescent="0.3">
      <c r="A22" s="352" t="s">
        <v>526</v>
      </c>
      <c r="B22" s="348"/>
      <c r="C22" s="348"/>
      <c r="D22" s="348"/>
      <c r="E22" s="348"/>
      <c r="F22" s="349">
        <f>-3316.47</f>
        <v>-3316.47</v>
      </c>
      <c r="G22" s="348"/>
      <c r="H22" s="349">
        <f t="shared" si="0"/>
        <v>-3316.47</v>
      </c>
    </row>
    <row r="23" spans="1:8" x14ac:dyDescent="0.3">
      <c r="A23" s="352" t="s">
        <v>395</v>
      </c>
      <c r="B23" s="348"/>
      <c r="C23" s="348"/>
      <c r="D23" s="348"/>
      <c r="E23" s="349">
        <f>-6.54</f>
        <v>-6.54</v>
      </c>
      <c r="F23" s="348"/>
      <c r="G23" s="349">
        <f>-25</f>
        <v>-25</v>
      </c>
      <c r="H23" s="349">
        <f t="shared" si="0"/>
        <v>-31.54</v>
      </c>
    </row>
    <row r="24" spans="1:8" x14ac:dyDescent="0.3">
      <c r="A24" s="352" t="s">
        <v>396</v>
      </c>
      <c r="B24" s="349">
        <f>-5905.24</f>
        <v>-5905.24</v>
      </c>
      <c r="C24" s="349">
        <f>-5947.25</f>
        <v>-5947.25</v>
      </c>
      <c r="D24" s="349">
        <f>-5989.57</f>
        <v>-5989.57</v>
      </c>
      <c r="E24" s="349">
        <f>-6032.19</f>
        <v>-6032.19</v>
      </c>
      <c r="F24" s="349">
        <f>-6075.11</f>
        <v>-6075.11</v>
      </c>
      <c r="G24" s="349">
        <f>-6118.34</f>
        <v>-6118.34</v>
      </c>
      <c r="H24" s="349">
        <f t="shared" si="0"/>
        <v>-36067.699999999997</v>
      </c>
    </row>
    <row r="25" spans="1:8" x14ac:dyDescent="0.3">
      <c r="A25" s="352" t="s">
        <v>527</v>
      </c>
      <c r="B25" s="348"/>
      <c r="C25" s="349">
        <f>10000</f>
        <v>10000</v>
      </c>
      <c r="D25" s="348"/>
      <c r="E25" s="348"/>
      <c r="F25" s="349">
        <f>714400</f>
        <v>714400</v>
      </c>
      <c r="G25" s="349">
        <f>-15469</f>
        <v>-15469</v>
      </c>
      <c r="H25" s="349">
        <f t="shared" si="0"/>
        <v>708931</v>
      </c>
    </row>
    <row r="26" spans="1:8" x14ac:dyDescent="0.3">
      <c r="A26" s="352" t="s">
        <v>528</v>
      </c>
      <c r="B26" s="348"/>
      <c r="C26" s="348"/>
      <c r="D26" s="349">
        <f>-15469</f>
        <v>-15469</v>
      </c>
      <c r="E26" s="348"/>
      <c r="F26" s="348"/>
      <c r="G26" s="349">
        <f>15469</f>
        <v>15469</v>
      </c>
      <c r="H26" s="349">
        <f t="shared" si="0"/>
        <v>0</v>
      </c>
    </row>
    <row r="27" spans="1:8" x14ac:dyDescent="0.3">
      <c r="A27" s="352" t="s">
        <v>439</v>
      </c>
      <c r="B27" s="349">
        <f>0</f>
        <v>0</v>
      </c>
      <c r="C27" s="348"/>
      <c r="D27" s="348"/>
      <c r="E27" s="348"/>
      <c r="F27" s="348"/>
      <c r="G27" s="348"/>
      <c r="H27" s="349">
        <f t="shared" si="0"/>
        <v>0</v>
      </c>
    </row>
    <row r="28" spans="1:8" x14ac:dyDescent="0.3">
      <c r="A28" s="352" t="s">
        <v>398</v>
      </c>
      <c r="B28" s="348"/>
      <c r="C28" s="348"/>
      <c r="D28" s="348"/>
      <c r="E28" s="348"/>
      <c r="F28" s="349">
        <f>123819.11</f>
        <v>123819.11</v>
      </c>
      <c r="G28" s="349">
        <f>-21939.27</f>
        <v>-21939.27</v>
      </c>
      <c r="H28" s="349">
        <f t="shared" si="0"/>
        <v>101879.84</v>
      </c>
    </row>
    <row r="29" spans="1:8" x14ac:dyDescent="0.3">
      <c r="A29" s="352" t="s">
        <v>399</v>
      </c>
      <c r="B29" s="350">
        <f t="shared" ref="B29:G29" si="2">((((((((((((((((((((B8)+(B9))+(B10))+(B11))+(B12))+(B13))+(B14))+(B15))+(B16))+(B17))+(B18))+(B19))+(B20))+(B21))+(B22))+(B23))+(B24))+(B25))+(B26))+(B27))+(B28)</f>
        <v>-196366.73000000004</v>
      </c>
      <c r="C29" s="350">
        <f t="shared" si="2"/>
        <v>47588.560000000034</v>
      </c>
      <c r="D29" s="350">
        <f t="shared" si="2"/>
        <v>103497.87000000002</v>
      </c>
      <c r="E29" s="350">
        <f t="shared" si="2"/>
        <v>-392091.07</v>
      </c>
      <c r="F29" s="350">
        <f t="shared" si="2"/>
        <v>577972.94000000006</v>
      </c>
      <c r="G29" s="350">
        <f t="shared" si="2"/>
        <v>-903779.77</v>
      </c>
      <c r="H29" s="350">
        <f t="shared" si="0"/>
        <v>-763178.2</v>
      </c>
    </row>
    <row r="30" spans="1:8" x14ac:dyDescent="0.3">
      <c r="A30" s="352" t="s">
        <v>400</v>
      </c>
      <c r="B30" s="350">
        <f t="shared" ref="B30:G30" si="3">(B7)+(B29)</f>
        <v>87208.169999999984</v>
      </c>
      <c r="C30" s="350">
        <f t="shared" si="3"/>
        <v>-19745.249999999964</v>
      </c>
      <c r="D30" s="350">
        <f t="shared" si="3"/>
        <v>579863.82000000007</v>
      </c>
      <c r="E30" s="350">
        <f t="shared" si="3"/>
        <v>187296.2</v>
      </c>
      <c r="F30" s="350">
        <f t="shared" si="3"/>
        <v>985593.65000000014</v>
      </c>
      <c r="G30" s="350">
        <f t="shared" si="3"/>
        <v>-223759.70000000007</v>
      </c>
      <c r="H30" s="350">
        <f t="shared" si="0"/>
        <v>1596456.8900000001</v>
      </c>
    </row>
    <row r="31" spans="1:8" x14ac:dyDescent="0.3">
      <c r="A31" s="352" t="s">
        <v>440</v>
      </c>
      <c r="B31" s="348"/>
      <c r="C31" s="348"/>
      <c r="D31" s="348"/>
      <c r="E31" s="348"/>
      <c r="F31" s="348"/>
      <c r="G31" s="348"/>
      <c r="H31" s="348"/>
    </row>
    <row r="32" spans="1:8" x14ac:dyDescent="0.3">
      <c r="A32" s="352" t="s">
        <v>441</v>
      </c>
      <c r="B32" s="348"/>
      <c r="C32" s="348"/>
      <c r="D32" s="349">
        <f>-1662.14</f>
        <v>-1662.14</v>
      </c>
      <c r="E32" s="348"/>
      <c r="F32" s="348"/>
      <c r="G32" s="348"/>
      <c r="H32" s="349">
        <f>(((((B32)+(C32))+(D32))+(E32))+(F32))+(G32)</f>
        <v>-1662.14</v>
      </c>
    </row>
    <row r="33" spans="1:8" x14ac:dyDescent="0.3">
      <c r="A33" s="352" t="s">
        <v>443</v>
      </c>
      <c r="B33" s="350">
        <f t="shared" ref="B33:G33" si="4">B32</f>
        <v>0</v>
      </c>
      <c r="C33" s="350">
        <f t="shared" si="4"/>
        <v>0</v>
      </c>
      <c r="D33" s="350">
        <f t="shared" si="4"/>
        <v>-1662.14</v>
      </c>
      <c r="E33" s="350">
        <f t="shared" si="4"/>
        <v>0</v>
      </c>
      <c r="F33" s="350">
        <f t="shared" si="4"/>
        <v>0</v>
      </c>
      <c r="G33" s="350">
        <f t="shared" si="4"/>
        <v>0</v>
      </c>
      <c r="H33" s="350">
        <f>(((((B33)+(C33))+(D33))+(E33))+(F33))+(G33)</f>
        <v>-1662.14</v>
      </c>
    </row>
    <row r="34" spans="1:8" x14ac:dyDescent="0.3">
      <c r="A34" s="352" t="s">
        <v>401</v>
      </c>
      <c r="B34" s="348"/>
      <c r="C34" s="348"/>
      <c r="D34" s="348"/>
      <c r="E34" s="348"/>
      <c r="F34" s="348"/>
      <c r="G34" s="348"/>
      <c r="H34" s="348"/>
    </row>
    <row r="35" spans="1:8" x14ac:dyDescent="0.3">
      <c r="A35" s="352" t="s">
        <v>444</v>
      </c>
      <c r="B35" s="349">
        <f>-112934.07</f>
        <v>-112934.07</v>
      </c>
      <c r="C35" s="348"/>
      <c r="D35" s="348"/>
      <c r="E35" s="348"/>
      <c r="F35" s="349">
        <f>3316.47</f>
        <v>3316.47</v>
      </c>
      <c r="G35" s="349">
        <f>111.67</f>
        <v>111.67</v>
      </c>
      <c r="H35" s="349">
        <f>(((((B35)+(C35))+(D35))+(E35))+(F35))+(G35)</f>
        <v>-109505.93000000001</v>
      </c>
    </row>
    <row r="36" spans="1:8" x14ac:dyDescent="0.3">
      <c r="A36" s="352" t="s">
        <v>403</v>
      </c>
      <c r="B36" s="350">
        <f t="shared" ref="B36:G36" si="5">B35</f>
        <v>-112934.07</v>
      </c>
      <c r="C36" s="350">
        <f t="shared" si="5"/>
        <v>0</v>
      </c>
      <c r="D36" s="350">
        <f t="shared" si="5"/>
        <v>0</v>
      </c>
      <c r="E36" s="350">
        <f t="shared" si="5"/>
        <v>0</v>
      </c>
      <c r="F36" s="350">
        <f t="shared" si="5"/>
        <v>3316.47</v>
      </c>
      <c r="G36" s="350">
        <f t="shared" si="5"/>
        <v>111.67</v>
      </c>
      <c r="H36" s="350">
        <f>(((((B36)+(C36))+(D36))+(E36))+(F36))+(G36)</f>
        <v>-109505.93000000001</v>
      </c>
    </row>
    <row r="37" spans="1:8" x14ac:dyDescent="0.3">
      <c r="A37" s="352" t="s">
        <v>404</v>
      </c>
      <c r="B37" s="350">
        <f t="shared" ref="B37:G37" si="6">((B30)+(B33))+(B36)</f>
        <v>-25725.900000000023</v>
      </c>
      <c r="C37" s="350">
        <f t="shared" si="6"/>
        <v>-19745.249999999964</v>
      </c>
      <c r="D37" s="350">
        <f t="shared" si="6"/>
        <v>578201.68000000005</v>
      </c>
      <c r="E37" s="350">
        <f t="shared" si="6"/>
        <v>187296.2</v>
      </c>
      <c r="F37" s="350">
        <f t="shared" si="6"/>
        <v>988910.12000000011</v>
      </c>
      <c r="G37" s="350">
        <f t="shared" si="6"/>
        <v>-223648.03000000006</v>
      </c>
      <c r="H37" s="350">
        <f>(((((B37)+(C37))+(D37))+(E37))+(F37))+(G37)</f>
        <v>1485288.82</v>
      </c>
    </row>
    <row r="38" spans="1:8" x14ac:dyDescent="0.3">
      <c r="A38" s="352"/>
      <c r="B38" s="348"/>
      <c r="C38" s="348"/>
      <c r="D38" s="348"/>
      <c r="E38" s="348"/>
      <c r="F38" s="348"/>
      <c r="G38" s="348"/>
      <c r="H38" s="348"/>
    </row>
    <row r="41" spans="1:8" x14ac:dyDescent="0.3">
      <c r="A41" s="373" t="s">
        <v>529</v>
      </c>
      <c r="B41" s="371"/>
      <c r="C41" s="371"/>
      <c r="D41" s="371"/>
      <c r="E41" s="371"/>
      <c r="F41" s="371"/>
      <c r="G41" s="371"/>
      <c r="H41" s="371"/>
    </row>
  </sheetData>
  <mergeCells count="4">
    <mergeCell ref="A1:H1"/>
    <mergeCell ref="A2:H2"/>
    <mergeCell ref="A3:H3"/>
    <mergeCell ref="A41:H41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theme="3" tint="0.79998168889431442"/>
  </sheetPr>
  <dimension ref="A1:N40"/>
  <sheetViews>
    <sheetView workbookViewId="0"/>
  </sheetViews>
  <sheetFormatPr defaultColWidth="9" defaultRowHeight="14.4" x14ac:dyDescent="0.3"/>
  <cols>
    <col min="1" max="1" width="69.5546875" style="2" customWidth="1"/>
    <col min="2" max="3" width="10.33203125" style="2" customWidth="1"/>
    <col min="4" max="4" width="12" style="2" customWidth="1"/>
    <col min="5" max="5" width="11.109375" style="2" customWidth="1"/>
    <col min="6" max="6" width="10.33203125" style="2" customWidth="1"/>
    <col min="7" max="7" width="12" style="2" customWidth="1"/>
    <col min="8" max="8" width="9.44140625" style="2" customWidth="1"/>
    <col min="9" max="9" width="10.33203125" style="2" customWidth="1"/>
    <col min="10" max="10" width="11.109375" style="2" customWidth="1"/>
    <col min="11" max="11" width="10.33203125" style="2" customWidth="1"/>
    <col min="12" max="12" width="12" style="2" customWidth="1"/>
    <col min="13" max="13" width="10.33203125" style="2" customWidth="1"/>
    <col min="14" max="14" width="12" style="2" customWidth="1"/>
    <col min="15" max="16384" width="9" style="2"/>
  </cols>
  <sheetData>
    <row r="1" spans="1:14" ht="17.399999999999999" x14ac:dyDescent="0.3">
      <c r="A1" s="9" t="s">
        <v>1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</row>
    <row r="2" spans="1:14" ht="17.399999999999999" x14ac:dyDescent="0.3">
      <c r="A2" s="9" t="s">
        <v>382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3">
      <c r="A3" s="11" t="s">
        <v>192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</row>
    <row r="5" spans="1:14" x14ac:dyDescent="0.3">
      <c r="A5" s="3"/>
      <c r="B5" s="4" t="s">
        <v>193</v>
      </c>
      <c r="C5" s="4" t="s">
        <v>194</v>
      </c>
      <c r="D5" s="4" t="s">
        <v>195</v>
      </c>
      <c r="E5" s="4" t="s">
        <v>196</v>
      </c>
      <c r="F5" s="4" t="s">
        <v>197</v>
      </c>
      <c r="G5" s="4" t="s">
        <v>198</v>
      </c>
      <c r="H5" s="4" t="s">
        <v>199</v>
      </c>
      <c r="I5" s="4" t="s">
        <v>200</v>
      </c>
      <c r="J5" s="4" t="s">
        <v>201</v>
      </c>
      <c r="K5" s="4" t="s">
        <v>202</v>
      </c>
      <c r="L5" s="4" t="s">
        <v>203</v>
      </c>
      <c r="M5" s="4" t="s">
        <v>204</v>
      </c>
      <c r="N5" s="4" t="s">
        <v>16</v>
      </c>
    </row>
    <row r="6" spans="1:14" x14ac:dyDescent="0.3">
      <c r="A6" s="5" t="s">
        <v>383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</row>
    <row r="7" spans="1:14" x14ac:dyDescent="0.3">
      <c r="A7" s="5" t="s">
        <v>384</v>
      </c>
      <c r="B7" s="7">
        <f>105667.19</f>
        <v>105667.19</v>
      </c>
      <c r="C7" s="7">
        <f>4811.78</f>
        <v>4811.78</v>
      </c>
      <c r="D7" s="7">
        <f>53489.64</f>
        <v>53489.64</v>
      </c>
      <c r="E7" s="7">
        <f>14403.1</f>
        <v>14403.1</v>
      </c>
      <c r="F7" s="7">
        <f>156619.22</f>
        <v>156619.22</v>
      </c>
      <c r="G7" s="7">
        <f>-63457.45</f>
        <v>-63457.45</v>
      </c>
      <c r="H7" s="7">
        <f>126091.87</f>
        <v>126091.87</v>
      </c>
      <c r="I7" s="7">
        <f>-77900.25</f>
        <v>-77900.25</v>
      </c>
      <c r="J7" s="7">
        <f>-211294.68</f>
        <v>-211294.68</v>
      </c>
      <c r="K7" s="7">
        <f>204955.36</f>
        <v>204955.36</v>
      </c>
      <c r="L7" s="7">
        <f>-271823.81</f>
        <v>-271823.81</v>
      </c>
      <c r="M7" s="7">
        <f>-178047.28</f>
        <v>-178047.28</v>
      </c>
      <c r="N7" s="7">
        <f t="shared" ref="N7:N28" si="0">(((((((((((B7)+(C7))+(D7))+(E7))+(F7))+(G7))+(H7))+(I7))+(J7))+(K7))+(L7))+(M7)</f>
        <v>-136485.31000000003</v>
      </c>
    </row>
    <row r="8" spans="1:14" x14ac:dyDescent="0.3">
      <c r="A8" s="5" t="s">
        <v>385</v>
      </c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7">
        <f t="shared" si="0"/>
        <v>0</v>
      </c>
    </row>
    <row r="9" spans="1:14" x14ac:dyDescent="0.3">
      <c r="A9" s="5" t="s">
        <v>387</v>
      </c>
      <c r="B9" s="7">
        <f>200653.29</f>
        <v>200653.29</v>
      </c>
      <c r="C9" s="7">
        <f>-18624.34</f>
        <v>-18624.34</v>
      </c>
      <c r="D9" s="7">
        <f>-258080.99</f>
        <v>-258080.99</v>
      </c>
      <c r="E9" s="7">
        <f>27184.68</f>
        <v>27184.68</v>
      </c>
      <c r="F9" s="7">
        <f>64434.17</f>
        <v>64434.17</v>
      </c>
      <c r="G9" s="7">
        <f>-51059.92</f>
        <v>-51059.92</v>
      </c>
      <c r="H9" s="7">
        <f>-19136.35</f>
        <v>-19136.349999999999</v>
      </c>
      <c r="I9" s="7">
        <f>50747.48</f>
        <v>50747.48</v>
      </c>
      <c r="J9" s="7">
        <f>6050.59</f>
        <v>6050.59</v>
      </c>
      <c r="K9" s="7">
        <f>64762.69</f>
        <v>64762.69</v>
      </c>
      <c r="L9" s="7">
        <f>-15685.14</f>
        <v>-15685.14</v>
      </c>
      <c r="M9" s="7">
        <f>-68839.13</f>
        <v>-68839.13</v>
      </c>
      <c r="N9" s="7">
        <f t="shared" si="0"/>
        <v>-17592.969999999972</v>
      </c>
    </row>
    <row r="10" spans="1:14" x14ac:dyDescent="0.3">
      <c r="A10" s="5" t="s">
        <v>388</v>
      </c>
      <c r="B10" s="7">
        <f t="shared" ref="B10:M10" si="1">219.31</f>
        <v>219.31</v>
      </c>
      <c r="C10" s="7">
        <f t="shared" si="1"/>
        <v>219.31</v>
      </c>
      <c r="D10" s="7">
        <f t="shared" si="1"/>
        <v>219.31</v>
      </c>
      <c r="E10" s="7">
        <f t="shared" si="1"/>
        <v>219.31</v>
      </c>
      <c r="F10" s="7">
        <f t="shared" si="1"/>
        <v>219.31</v>
      </c>
      <c r="G10" s="7">
        <f t="shared" si="1"/>
        <v>219.31</v>
      </c>
      <c r="H10" s="7">
        <f t="shared" si="1"/>
        <v>219.31</v>
      </c>
      <c r="I10" s="7">
        <f t="shared" si="1"/>
        <v>219.31</v>
      </c>
      <c r="J10" s="7">
        <f t="shared" si="1"/>
        <v>219.31</v>
      </c>
      <c r="K10" s="7">
        <f t="shared" si="1"/>
        <v>219.31</v>
      </c>
      <c r="L10" s="7">
        <f t="shared" si="1"/>
        <v>219.31</v>
      </c>
      <c r="M10" s="7">
        <f t="shared" si="1"/>
        <v>219.31</v>
      </c>
      <c r="N10" s="7">
        <f t="shared" si="0"/>
        <v>2631.72</v>
      </c>
    </row>
    <row r="11" spans="1:14" x14ac:dyDescent="0.3">
      <c r="A11" s="5" t="s">
        <v>433</v>
      </c>
      <c r="B11" s="6"/>
      <c r="C11" s="6"/>
      <c r="D11" s="6"/>
      <c r="E11" s="6"/>
      <c r="F11" s="6"/>
      <c r="G11" s="7">
        <f>0</f>
        <v>0</v>
      </c>
      <c r="H11" s="6"/>
      <c r="I11" s="6"/>
      <c r="J11" s="6"/>
      <c r="K11" s="6"/>
      <c r="L11" s="6"/>
      <c r="M11" s="6"/>
      <c r="N11" s="7">
        <f t="shared" si="0"/>
        <v>0</v>
      </c>
    </row>
    <row r="12" spans="1:14" x14ac:dyDescent="0.3">
      <c r="A12" s="5" t="s">
        <v>389</v>
      </c>
      <c r="B12" s="7">
        <f>-37616.58</f>
        <v>-37616.58</v>
      </c>
      <c r="C12" s="7">
        <f>159882.12</f>
        <v>159882.12</v>
      </c>
      <c r="D12" s="7">
        <f>-43.97</f>
        <v>-43.97</v>
      </c>
      <c r="E12" s="7">
        <f>24904.84</f>
        <v>24904.84</v>
      </c>
      <c r="F12" s="7">
        <f>-193787.53</f>
        <v>-193787.53</v>
      </c>
      <c r="G12" s="7">
        <f>21272.18</f>
        <v>21272.18</v>
      </c>
      <c r="H12" s="7">
        <f>-2523.94</f>
        <v>-2523.94</v>
      </c>
      <c r="I12" s="7">
        <f>-61973</f>
        <v>-61973</v>
      </c>
      <c r="J12" s="7">
        <f>-13775.72</f>
        <v>-13775.72</v>
      </c>
      <c r="K12" s="7">
        <f>40143.98</f>
        <v>40143.980000000003</v>
      </c>
      <c r="L12" s="7">
        <f>44874.57</f>
        <v>44874.57</v>
      </c>
      <c r="M12" s="7">
        <f>95372.83</f>
        <v>95372.83</v>
      </c>
      <c r="N12" s="7">
        <f t="shared" si="0"/>
        <v>76729.780000000013</v>
      </c>
    </row>
    <row r="13" spans="1:14" x14ac:dyDescent="0.3">
      <c r="A13" s="5" t="s">
        <v>434</v>
      </c>
      <c r="B13" s="6"/>
      <c r="C13" s="6"/>
      <c r="D13" s="6"/>
      <c r="E13" s="6"/>
      <c r="F13" s="6"/>
      <c r="G13" s="6"/>
      <c r="H13" s="6"/>
      <c r="I13" s="7">
        <f>-186.81</f>
        <v>-186.81</v>
      </c>
      <c r="J13" s="7">
        <f>5550.09</f>
        <v>5550.09</v>
      </c>
      <c r="K13" s="7">
        <f>36891.87</f>
        <v>36891.870000000003</v>
      </c>
      <c r="L13" s="7">
        <f>-9953.04</f>
        <v>-9953.0400000000009</v>
      </c>
      <c r="M13" s="7">
        <f>18486.43</f>
        <v>18486.43</v>
      </c>
      <c r="N13" s="7">
        <f t="shared" si="0"/>
        <v>50788.54</v>
      </c>
    </row>
    <row r="14" spans="1:14" x14ac:dyDescent="0.3">
      <c r="A14" s="5" t="s">
        <v>390</v>
      </c>
      <c r="B14" s="7">
        <f>-45998.38</f>
        <v>-45998.38</v>
      </c>
      <c r="C14" s="7">
        <f>132554.75</f>
        <v>132554.75</v>
      </c>
      <c r="D14" s="7">
        <f>-209707.99</f>
        <v>-209707.99</v>
      </c>
      <c r="E14" s="7">
        <f>27149.16</f>
        <v>27149.16</v>
      </c>
      <c r="F14" s="7">
        <f>30354.62</f>
        <v>30354.62</v>
      </c>
      <c r="G14" s="7">
        <f>-165957.63</f>
        <v>-165957.63</v>
      </c>
      <c r="H14" s="7">
        <f>16036.91</f>
        <v>16036.91</v>
      </c>
      <c r="I14" s="7">
        <f>-11992.61</f>
        <v>-11992.61</v>
      </c>
      <c r="J14" s="7">
        <f>248152.86</f>
        <v>248152.86</v>
      </c>
      <c r="K14" s="7">
        <f>-225264.15</f>
        <v>-225264.15</v>
      </c>
      <c r="L14" s="7">
        <f>73674.62</f>
        <v>73674.62</v>
      </c>
      <c r="M14" s="7">
        <f>-78322.64</f>
        <v>-78322.64</v>
      </c>
      <c r="N14" s="7">
        <f t="shared" si="0"/>
        <v>-209320.47999999998</v>
      </c>
    </row>
    <row r="15" spans="1:14" x14ac:dyDescent="0.3">
      <c r="A15" s="5" t="s">
        <v>391</v>
      </c>
      <c r="B15" s="7">
        <f>-32274.97</f>
        <v>-32274.97</v>
      </c>
      <c r="C15" s="7">
        <f>-18833.43</f>
        <v>-18833.43</v>
      </c>
      <c r="D15" s="7">
        <f>2853.86</f>
        <v>2853.86</v>
      </c>
      <c r="E15" s="7">
        <f>40.55</f>
        <v>40.549999999999997</v>
      </c>
      <c r="F15" s="7">
        <f>510.37</f>
        <v>510.37</v>
      </c>
      <c r="G15" s="7">
        <f>450.08</f>
        <v>450.08</v>
      </c>
      <c r="H15" s="7">
        <f>705.94</f>
        <v>705.94</v>
      </c>
      <c r="I15" s="7">
        <f>498.71</f>
        <v>498.71</v>
      </c>
      <c r="J15" s="7">
        <f>-577.14</f>
        <v>-577.14</v>
      </c>
      <c r="K15" s="7">
        <f>-1652.89</f>
        <v>-1652.89</v>
      </c>
      <c r="L15" s="7">
        <f>21198.15</f>
        <v>21198.15</v>
      </c>
      <c r="M15" s="7">
        <f>-8246.32</f>
        <v>-8246.32</v>
      </c>
      <c r="N15" s="7">
        <f t="shared" si="0"/>
        <v>-35327.089999999989</v>
      </c>
    </row>
    <row r="16" spans="1:14" x14ac:dyDescent="0.3">
      <c r="A16" s="5" t="s">
        <v>435</v>
      </c>
      <c r="B16" s="6"/>
      <c r="C16" s="7">
        <f>13706.09</f>
        <v>13706.09</v>
      </c>
      <c r="D16" s="7">
        <f>6036.94</f>
        <v>6036.94</v>
      </c>
      <c r="E16" s="7">
        <f>6185.85</f>
        <v>6185.85</v>
      </c>
      <c r="F16" s="7">
        <f>-14455.97</f>
        <v>-14455.97</v>
      </c>
      <c r="G16" s="6"/>
      <c r="H16" s="6"/>
      <c r="I16" s="6"/>
      <c r="J16" s="7">
        <f>173.46</f>
        <v>173.46</v>
      </c>
      <c r="K16" s="6"/>
      <c r="L16" s="6"/>
      <c r="M16" s="6"/>
      <c r="N16" s="7">
        <f t="shared" si="0"/>
        <v>11646.369999999997</v>
      </c>
    </row>
    <row r="17" spans="1:14" x14ac:dyDescent="0.3">
      <c r="A17" s="5" t="s">
        <v>436</v>
      </c>
      <c r="B17" s="6"/>
      <c r="C17" s="6"/>
      <c r="D17" s="6"/>
      <c r="E17" s="7">
        <f>28194.52</f>
        <v>28194.52</v>
      </c>
      <c r="F17" s="7">
        <f>32829.68</f>
        <v>32829.68</v>
      </c>
      <c r="G17" s="7">
        <f>79517.22</f>
        <v>79517.22</v>
      </c>
      <c r="H17" s="7">
        <f>-28074.45</f>
        <v>-28074.45</v>
      </c>
      <c r="I17" s="7">
        <f>17921.71</f>
        <v>17921.71</v>
      </c>
      <c r="J17" s="7">
        <f>6604.89</f>
        <v>6604.89</v>
      </c>
      <c r="K17" s="7">
        <f>-135454.24</f>
        <v>-135454.24</v>
      </c>
      <c r="L17" s="7">
        <f>42738.15</f>
        <v>42738.15</v>
      </c>
      <c r="M17" s="7">
        <f>150936.69</f>
        <v>150936.69</v>
      </c>
      <c r="N17" s="7">
        <f t="shared" si="0"/>
        <v>195214.17</v>
      </c>
    </row>
    <row r="18" spans="1:14" x14ac:dyDescent="0.3">
      <c r="A18" s="5" t="s">
        <v>437</v>
      </c>
      <c r="B18" s="6"/>
      <c r="C18" s="7">
        <f>17614.7</f>
        <v>17614.7</v>
      </c>
      <c r="D18" s="7">
        <f>-15555.03</f>
        <v>-15555.03</v>
      </c>
      <c r="E18" s="7">
        <f>11879.18</f>
        <v>11879.18</v>
      </c>
      <c r="F18" s="7">
        <f>-12185.57</f>
        <v>-12185.57</v>
      </c>
      <c r="G18" s="7">
        <f>24880.17</f>
        <v>24880.17</v>
      </c>
      <c r="H18" s="7">
        <f>-31279.49</f>
        <v>-31279.49</v>
      </c>
      <c r="I18" s="7">
        <f>4179.85</f>
        <v>4179.8500000000004</v>
      </c>
      <c r="J18" s="7">
        <f>13813.99</f>
        <v>13813.99</v>
      </c>
      <c r="K18" s="7">
        <f>-11459.49</f>
        <v>-11459.49</v>
      </c>
      <c r="L18" s="7">
        <f>1745.66</f>
        <v>1745.66</v>
      </c>
      <c r="M18" s="7">
        <f>28720.1</f>
        <v>28720.1</v>
      </c>
      <c r="N18" s="7">
        <f t="shared" si="0"/>
        <v>32354.069999999992</v>
      </c>
    </row>
    <row r="19" spans="1:14" x14ac:dyDescent="0.3">
      <c r="A19" s="5" t="s">
        <v>392</v>
      </c>
      <c r="B19" s="7">
        <f>52770.04</f>
        <v>52770.04</v>
      </c>
      <c r="C19" s="7">
        <f>-150655</f>
        <v>-150655</v>
      </c>
      <c r="D19" s="7">
        <f>148712.01</f>
        <v>148712.01</v>
      </c>
      <c r="E19" s="7">
        <f>-148712.01</f>
        <v>-148712.01</v>
      </c>
      <c r="F19" s="7">
        <f>41.58</f>
        <v>41.58</v>
      </c>
      <c r="G19" s="7">
        <f>73.01</f>
        <v>73.010000000000005</v>
      </c>
      <c r="H19" s="7">
        <f>-127.58</f>
        <v>-127.58</v>
      </c>
      <c r="I19" s="7">
        <f>130137.78</f>
        <v>130137.78</v>
      </c>
      <c r="J19" s="7">
        <f>-116814.85</f>
        <v>-116814.85</v>
      </c>
      <c r="K19" s="7">
        <f>92034.03</f>
        <v>92034.03</v>
      </c>
      <c r="L19" s="7">
        <f>-17260.86</f>
        <v>-17260.86</v>
      </c>
      <c r="M19" s="7">
        <f>83908.42</f>
        <v>83908.42</v>
      </c>
      <c r="N19" s="7">
        <f t="shared" si="0"/>
        <v>74106.569999999992</v>
      </c>
    </row>
    <row r="20" spans="1:14" x14ac:dyDescent="0.3">
      <c r="A20" s="5" t="s">
        <v>438</v>
      </c>
      <c r="B20" s="7">
        <f>-2533.88</f>
        <v>-2533.88</v>
      </c>
      <c r="C20" s="6"/>
      <c r="D20" s="6"/>
      <c r="E20" s="6"/>
      <c r="F20" s="6"/>
      <c r="G20" s="6"/>
      <c r="H20" s="6"/>
      <c r="I20" s="7">
        <f>186.81</f>
        <v>186.81</v>
      </c>
      <c r="J20" s="7">
        <f>-186.81</f>
        <v>-186.81</v>
      </c>
      <c r="K20" s="7">
        <f>366.24</f>
        <v>366.24</v>
      </c>
      <c r="L20" s="7">
        <f>-120.01</f>
        <v>-120.01</v>
      </c>
      <c r="M20" s="7">
        <f>88.8</f>
        <v>88.8</v>
      </c>
      <c r="N20" s="7">
        <f t="shared" si="0"/>
        <v>-2198.8500000000004</v>
      </c>
    </row>
    <row r="21" spans="1:14" x14ac:dyDescent="0.3">
      <c r="A21" s="5" t="s">
        <v>393</v>
      </c>
      <c r="B21" s="7">
        <f>55986.31</f>
        <v>55986.31</v>
      </c>
      <c r="C21" s="7">
        <f>-127668.26</f>
        <v>-127668.26</v>
      </c>
      <c r="D21" s="7">
        <f>52669.2</f>
        <v>52669.2</v>
      </c>
      <c r="E21" s="7">
        <f>-40322.05</f>
        <v>-40322.050000000003</v>
      </c>
      <c r="F21" s="7">
        <f>-224.15</f>
        <v>-224.15</v>
      </c>
      <c r="G21" s="7">
        <f>7308.69</f>
        <v>7308.69</v>
      </c>
      <c r="H21" s="7">
        <f>-11295.07</f>
        <v>-11295.07</v>
      </c>
      <c r="I21" s="7">
        <f>-2831.88</f>
        <v>-2831.88</v>
      </c>
      <c r="J21" s="6"/>
      <c r="K21" s="6"/>
      <c r="L21" s="6"/>
      <c r="M21" s="6"/>
      <c r="N21" s="7">
        <f t="shared" si="0"/>
        <v>-66377.210000000006</v>
      </c>
    </row>
    <row r="22" spans="1:14" x14ac:dyDescent="0.3">
      <c r="A22" s="5" t="s">
        <v>394</v>
      </c>
      <c r="B22" s="7">
        <f>482.03</f>
        <v>482.03</v>
      </c>
      <c r="C22" s="7">
        <f>790.58</f>
        <v>790.58</v>
      </c>
      <c r="D22" s="7">
        <f>97.46</f>
        <v>97.46</v>
      </c>
      <c r="E22" s="7">
        <f>18.92</f>
        <v>18.920000000000002</v>
      </c>
      <c r="F22" s="6"/>
      <c r="G22" s="7">
        <f>9.78</f>
        <v>9.7799999999999994</v>
      </c>
      <c r="H22" s="6"/>
      <c r="I22" s="6"/>
      <c r="J22" s="6"/>
      <c r="K22" s="6"/>
      <c r="L22" s="6"/>
      <c r="M22" s="6"/>
      <c r="N22" s="7">
        <f t="shared" si="0"/>
        <v>1398.7700000000002</v>
      </c>
    </row>
    <row r="23" spans="1:14" x14ac:dyDescent="0.3">
      <c r="A23" s="5" t="s">
        <v>395</v>
      </c>
      <c r="B23" s="6"/>
      <c r="C23" s="7">
        <f>12162.42</f>
        <v>12162.42</v>
      </c>
      <c r="D23" s="7">
        <f>7904.82</f>
        <v>7904.82</v>
      </c>
      <c r="E23" s="7">
        <f>26576.48</f>
        <v>26576.48</v>
      </c>
      <c r="F23" s="7">
        <f>4989.07</f>
        <v>4989.07</v>
      </c>
      <c r="G23" s="7">
        <f>-11372.96</f>
        <v>-11372.96</v>
      </c>
      <c r="H23" s="7">
        <f>2061</f>
        <v>2061</v>
      </c>
      <c r="I23" s="7">
        <f>-914.81</f>
        <v>-914.81</v>
      </c>
      <c r="J23" s="7">
        <f>-2497.92</f>
        <v>-2497.92</v>
      </c>
      <c r="K23" s="7">
        <f>-178.65</f>
        <v>-178.65</v>
      </c>
      <c r="L23" s="6"/>
      <c r="M23" s="6"/>
      <c r="N23" s="7">
        <f t="shared" si="0"/>
        <v>38729.450000000004</v>
      </c>
    </row>
    <row r="24" spans="1:14" x14ac:dyDescent="0.3">
      <c r="A24" s="5" t="s">
        <v>396</v>
      </c>
      <c r="B24" s="7">
        <f>-5162.78</f>
        <v>-5162.78</v>
      </c>
      <c r="C24" s="7">
        <f>-5226.1</f>
        <v>-5226.1000000000004</v>
      </c>
      <c r="D24" s="7">
        <f>-5290.21</f>
        <v>-5290.21</v>
      </c>
      <c r="E24" s="7">
        <f>-5355.1</f>
        <v>-5355.1</v>
      </c>
      <c r="F24" s="7">
        <f>-5420.78</f>
        <v>-5420.78</v>
      </c>
      <c r="G24" s="7">
        <f>-5487.25</f>
        <v>-5487.25</v>
      </c>
      <c r="H24" s="7">
        <f>-5554.55</f>
        <v>-5554.55</v>
      </c>
      <c r="I24" s="7">
        <f>-5622.69</f>
        <v>-5622.69</v>
      </c>
      <c r="J24" s="7">
        <f>-5691.64</f>
        <v>-5691.64</v>
      </c>
      <c r="K24" s="7">
        <f>-5761.45</f>
        <v>-5761.45</v>
      </c>
      <c r="L24" s="7">
        <f>-5822.11</f>
        <v>-5822.11</v>
      </c>
      <c r="M24" s="7">
        <f>-5863.53</f>
        <v>-5863.53</v>
      </c>
      <c r="N24" s="7">
        <f t="shared" si="0"/>
        <v>-66258.19</v>
      </c>
    </row>
    <row r="25" spans="1:14" x14ac:dyDescent="0.3">
      <c r="A25" s="5" t="s">
        <v>439</v>
      </c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7">
        <f>42.46</f>
        <v>42.46</v>
      </c>
      <c r="N25" s="7">
        <f t="shared" si="0"/>
        <v>42.46</v>
      </c>
    </row>
    <row r="26" spans="1:14" x14ac:dyDescent="0.3">
      <c r="A26" s="5" t="s">
        <v>418</v>
      </c>
      <c r="B26" s="6"/>
      <c r="C26" s="6"/>
      <c r="D26" s="6"/>
      <c r="E26" s="6"/>
      <c r="F26" s="7">
        <f>-1598</f>
        <v>-1598</v>
      </c>
      <c r="G26" s="6"/>
      <c r="H26" s="6"/>
      <c r="I26" s="6"/>
      <c r="J26" s="6"/>
      <c r="K26" s="6"/>
      <c r="L26" s="6"/>
      <c r="M26" s="6"/>
      <c r="N26" s="7">
        <f t="shared" si="0"/>
        <v>-1598</v>
      </c>
    </row>
    <row r="27" spans="1:14" x14ac:dyDescent="0.3">
      <c r="A27" s="5" t="s">
        <v>399</v>
      </c>
      <c r="B27" s="8">
        <f t="shared" ref="B27:M27" si="2">((((((((((((((((((B8)+(B9))+(B10))+(B11))+(B12))+(B13))+(B14))+(B15))+(B16))+(B17))+(B18))+(B19))+(B20))+(B21))+(B22))+(B23))+(B24))+(B25))+(B26)</f>
        <v>186524.39</v>
      </c>
      <c r="C27" s="8">
        <f t="shared" si="2"/>
        <v>15922.840000000017</v>
      </c>
      <c r="D27" s="8">
        <f t="shared" si="2"/>
        <v>-270184.59000000003</v>
      </c>
      <c r="E27" s="8">
        <f t="shared" si="2"/>
        <v>-42035.669999999991</v>
      </c>
      <c r="F27" s="8">
        <f t="shared" si="2"/>
        <v>-94293.200000000012</v>
      </c>
      <c r="G27" s="8">
        <f t="shared" si="2"/>
        <v>-100147.32</v>
      </c>
      <c r="H27" s="8">
        <f t="shared" si="2"/>
        <v>-78968.27</v>
      </c>
      <c r="I27" s="8">
        <f t="shared" si="2"/>
        <v>120369.84999999999</v>
      </c>
      <c r="J27" s="8">
        <f t="shared" si="2"/>
        <v>141021.10999999993</v>
      </c>
      <c r="K27" s="8">
        <f t="shared" si="2"/>
        <v>-145352.75</v>
      </c>
      <c r="L27" s="8">
        <f t="shared" si="2"/>
        <v>135609.29999999999</v>
      </c>
      <c r="M27" s="8">
        <f t="shared" si="2"/>
        <v>216503.41999999998</v>
      </c>
      <c r="N27" s="8">
        <f t="shared" si="0"/>
        <v>84969.10999999987</v>
      </c>
    </row>
    <row r="28" spans="1:14" x14ac:dyDescent="0.3">
      <c r="A28" s="5" t="s">
        <v>400</v>
      </c>
      <c r="B28" s="8">
        <f t="shared" ref="B28:M28" si="3">(B7)+(B27)</f>
        <v>292191.58</v>
      </c>
      <c r="C28" s="8">
        <f t="shared" si="3"/>
        <v>20734.620000000017</v>
      </c>
      <c r="D28" s="8">
        <f t="shared" si="3"/>
        <v>-216694.95</v>
      </c>
      <c r="E28" s="8">
        <f t="shared" si="3"/>
        <v>-27632.569999999992</v>
      </c>
      <c r="F28" s="8">
        <f t="shared" si="3"/>
        <v>62326.01999999999</v>
      </c>
      <c r="G28" s="8">
        <f t="shared" si="3"/>
        <v>-163604.77000000002</v>
      </c>
      <c r="H28" s="8">
        <f t="shared" si="3"/>
        <v>47123.599999999991</v>
      </c>
      <c r="I28" s="8">
        <f t="shared" si="3"/>
        <v>42469.599999999991</v>
      </c>
      <c r="J28" s="8">
        <f t="shared" si="3"/>
        <v>-70273.570000000065</v>
      </c>
      <c r="K28" s="8">
        <f t="shared" si="3"/>
        <v>59602.609999999986</v>
      </c>
      <c r="L28" s="8">
        <f t="shared" si="3"/>
        <v>-136214.51</v>
      </c>
      <c r="M28" s="8">
        <f t="shared" si="3"/>
        <v>38456.139999999985</v>
      </c>
      <c r="N28" s="8">
        <f t="shared" si="0"/>
        <v>-51516.200000000143</v>
      </c>
    </row>
    <row r="29" spans="1:14" x14ac:dyDescent="0.3">
      <c r="A29" s="5" t="s">
        <v>440</v>
      </c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</row>
    <row r="30" spans="1:14" x14ac:dyDescent="0.3">
      <c r="A30" s="5" t="s">
        <v>441</v>
      </c>
      <c r="B30" s="6"/>
      <c r="C30" s="6"/>
      <c r="D30" s="6"/>
      <c r="E30" s="6"/>
      <c r="F30" s="6"/>
      <c r="G30" s="6"/>
      <c r="H30" s="6"/>
      <c r="I30" s="7">
        <f>-1349.8</f>
        <v>-1349.8</v>
      </c>
      <c r="J30" s="6"/>
      <c r="K30" s="6"/>
      <c r="L30" s="6"/>
      <c r="M30" s="6"/>
      <c r="N30" s="7">
        <f>(((((((((((B30)+(C30))+(D30))+(E30))+(F30))+(G30))+(H30))+(I30))+(J30))+(K30))+(L30))+(M30)</f>
        <v>-1349.8</v>
      </c>
    </row>
    <row r="31" spans="1:14" x14ac:dyDescent="0.3">
      <c r="A31" s="5" t="s">
        <v>442</v>
      </c>
      <c r="B31" s="6"/>
      <c r="C31" s="6"/>
      <c r="D31" s="6"/>
      <c r="E31" s="7">
        <f>-11648.96</f>
        <v>-11648.96</v>
      </c>
      <c r="F31" s="6"/>
      <c r="G31" s="6"/>
      <c r="H31" s="6"/>
      <c r="I31" s="7">
        <f>-7241.27</f>
        <v>-7241.27</v>
      </c>
      <c r="J31" s="6"/>
      <c r="K31" s="6"/>
      <c r="L31" s="6"/>
      <c r="M31" s="6"/>
      <c r="N31" s="7">
        <f>(((((((((((B31)+(C31))+(D31))+(E31))+(F31))+(G31))+(H31))+(I31))+(J31))+(K31))+(L31))+(M31)</f>
        <v>-18890.23</v>
      </c>
    </row>
    <row r="32" spans="1:14" x14ac:dyDescent="0.3">
      <c r="A32" s="5" t="s">
        <v>443</v>
      </c>
      <c r="B32" s="8">
        <f t="shared" ref="B32:M32" si="4">(B30)+(B31)</f>
        <v>0</v>
      </c>
      <c r="C32" s="8">
        <f t="shared" si="4"/>
        <v>0</v>
      </c>
      <c r="D32" s="8">
        <f t="shared" si="4"/>
        <v>0</v>
      </c>
      <c r="E32" s="8">
        <f t="shared" si="4"/>
        <v>-11648.96</v>
      </c>
      <c r="F32" s="8">
        <f t="shared" si="4"/>
        <v>0</v>
      </c>
      <c r="G32" s="8">
        <f t="shared" si="4"/>
        <v>0</v>
      </c>
      <c r="H32" s="8">
        <f t="shared" si="4"/>
        <v>0</v>
      </c>
      <c r="I32" s="8">
        <f t="shared" si="4"/>
        <v>-8591.07</v>
      </c>
      <c r="J32" s="8">
        <f t="shared" si="4"/>
        <v>0</v>
      </c>
      <c r="K32" s="8">
        <f t="shared" si="4"/>
        <v>0</v>
      </c>
      <c r="L32" s="8">
        <f t="shared" si="4"/>
        <v>0</v>
      </c>
      <c r="M32" s="8">
        <f t="shared" si="4"/>
        <v>0</v>
      </c>
      <c r="N32" s="8">
        <f>(((((((((((B32)+(C32))+(D32))+(E32))+(F32))+(G32))+(H32))+(I32))+(J32))+(K32))+(L32))+(M32)</f>
        <v>-20240.03</v>
      </c>
    </row>
    <row r="33" spans="1:14" x14ac:dyDescent="0.3">
      <c r="A33" s="5" t="s">
        <v>401</v>
      </c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</row>
    <row r="34" spans="1:14" x14ac:dyDescent="0.3">
      <c r="A34" s="5" t="s">
        <v>444</v>
      </c>
      <c r="B34" s="7">
        <f>2533.88</f>
        <v>2533.88</v>
      </c>
      <c r="C34" s="7">
        <f>0</f>
        <v>0</v>
      </c>
      <c r="D34" s="6"/>
      <c r="E34" s="6"/>
      <c r="F34" s="6"/>
      <c r="G34" s="6"/>
      <c r="H34" s="7">
        <f>0</f>
        <v>0</v>
      </c>
      <c r="I34" s="6"/>
      <c r="J34" s="6"/>
      <c r="K34" s="6"/>
      <c r="L34" s="6"/>
      <c r="M34" s="6"/>
      <c r="N34" s="7">
        <f>(((((((((((B34)+(C34))+(D34))+(E34))+(F34))+(G34))+(H34))+(I34))+(J34))+(K34))+(L34))+(M34)</f>
        <v>2533.88</v>
      </c>
    </row>
    <row r="35" spans="1:14" x14ac:dyDescent="0.3">
      <c r="A35" s="5" t="s">
        <v>403</v>
      </c>
      <c r="B35" s="8">
        <f t="shared" ref="B35:M35" si="5">B34</f>
        <v>2533.88</v>
      </c>
      <c r="C35" s="8">
        <f t="shared" si="5"/>
        <v>0</v>
      </c>
      <c r="D35" s="8">
        <f t="shared" si="5"/>
        <v>0</v>
      </c>
      <c r="E35" s="8">
        <f t="shared" si="5"/>
        <v>0</v>
      </c>
      <c r="F35" s="8">
        <f t="shared" si="5"/>
        <v>0</v>
      </c>
      <c r="G35" s="8">
        <f t="shared" si="5"/>
        <v>0</v>
      </c>
      <c r="H35" s="8">
        <f t="shared" si="5"/>
        <v>0</v>
      </c>
      <c r="I35" s="8">
        <f t="shared" si="5"/>
        <v>0</v>
      </c>
      <c r="J35" s="8">
        <f t="shared" si="5"/>
        <v>0</v>
      </c>
      <c r="K35" s="8">
        <f t="shared" si="5"/>
        <v>0</v>
      </c>
      <c r="L35" s="8">
        <f t="shared" si="5"/>
        <v>0</v>
      </c>
      <c r="M35" s="8">
        <f t="shared" si="5"/>
        <v>0</v>
      </c>
      <c r="N35" s="8">
        <f>(((((((((((B35)+(C35))+(D35))+(E35))+(F35))+(G35))+(H35))+(I35))+(J35))+(K35))+(L35))+(M35)</f>
        <v>2533.88</v>
      </c>
    </row>
    <row r="36" spans="1:14" x14ac:dyDescent="0.3">
      <c r="A36" s="5" t="s">
        <v>404</v>
      </c>
      <c r="B36" s="8">
        <f t="shared" ref="B36:M36" si="6">((B28)+(B32))+(B35)</f>
        <v>294725.46000000002</v>
      </c>
      <c r="C36" s="8">
        <f t="shared" si="6"/>
        <v>20734.620000000017</v>
      </c>
      <c r="D36" s="8">
        <f t="shared" si="6"/>
        <v>-216694.95</v>
      </c>
      <c r="E36" s="8">
        <f t="shared" si="6"/>
        <v>-39281.529999999992</v>
      </c>
      <c r="F36" s="8">
        <f t="shared" si="6"/>
        <v>62326.01999999999</v>
      </c>
      <c r="G36" s="8">
        <f t="shared" si="6"/>
        <v>-163604.77000000002</v>
      </c>
      <c r="H36" s="8">
        <f t="shared" si="6"/>
        <v>47123.599999999991</v>
      </c>
      <c r="I36" s="8">
        <f t="shared" si="6"/>
        <v>33878.529999999992</v>
      </c>
      <c r="J36" s="8">
        <f t="shared" si="6"/>
        <v>-70273.570000000065</v>
      </c>
      <c r="K36" s="8">
        <f t="shared" si="6"/>
        <v>59602.609999999986</v>
      </c>
      <c r="L36" s="8">
        <f t="shared" si="6"/>
        <v>-136214.51</v>
      </c>
      <c r="M36" s="8">
        <f t="shared" si="6"/>
        <v>38456.139999999985</v>
      </c>
      <c r="N36" s="8">
        <f>(((((((((((B36)+(C36))+(D36))+(E36))+(F36))+(G36))+(H36))+(I36))+(J36))+(K36))+(L36))+(M36)</f>
        <v>-69222.350000000151</v>
      </c>
    </row>
    <row r="37" spans="1:14" x14ac:dyDescent="0.3">
      <c r="A37" s="5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</row>
    <row r="40" spans="1:14" x14ac:dyDescent="0.3">
      <c r="A40" s="12" t="s">
        <v>445</v>
      </c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</row>
  </sheetData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3" tint="0.79998168889431442"/>
  </sheetPr>
  <dimension ref="A1:N31"/>
  <sheetViews>
    <sheetView workbookViewId="0"/>
  </sheetViews>
  <sheetFormatPr defaultColWidth="9" defaultRowHeight="14.4" x14ac:dyDescent="0.3"/>
  <cols>
    <col min="1" max="1" width="69.5546875" style="2" customWidth="1"/>
    <col min="2" max="2" width="11.109375" style="2" customWidth="1"/>
    <col min="3" max="4" width="12" style="2" customWidth="1"/>
    <col min="5" max="5" width="10.33203125" style="2" customWidth="1"/>
    <col min="6" max="6" width="11.109375" style="2" customWidth="1"/>
    <col min="7" max="7" width="10.33203125" style="2" customWidth="1"/>
    <col min="8" max="8" width="12" style="2" customWidth="1"/>
    <col min="9" max="9" width="10.33203125" style="2" customWidth="1"/>
    <col min="10" max="11" width="12" style="2" customWidth="1"/>
    <col min="12" max="12" width="11.109375" style="2" customWidth="1"/>
    <col min="13" max="13" width="12" style="2" customWidth="1"/>
    <col min="14" max="14" width="13.6640625" style="2" customWidth="1"/>
    <col min="15" max="16384" width="9" style="2"/>
  </cols>
  <sheetData>
    <row r="1" spans="1:14" ht="17.399999999999999" x14ac:dyDescent="0.3">
      <c r="A1" s="9" t="s">
        <v>1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</row>
    <row r="2" spans="1:14" ht="17.399999999999999" x14ac:dyDescent="0.3">
      <c r="A2" s="9" t="s">
        <v>382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3">
      <c r="A3" s="11" t="s">
        <v>3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</row>
    <row r="5" spans="1:14" x14ac:dyDescent="0.3">
      <c r="A5" s="3"/>
      <c r="B5" s="4" t="s">
        <v>4</v>
      </c>
      <c r="C5" s="4" t="s">
        <v>5</v>
      </c>
      <c r="D5" s="4" t="s">
        <v>6</v>
      </c>
      <c r="E5" s="4" t="s">
        <v>7</v>
      </c>
      <c r="F5" s="4" t="s">
        <v>8</v>
      </c>
      <c r="G5" s="4" t="s">
        <v>9</v>
      </c>
      <c r="H5" s="4" t="s">
        <v>10</v>
      </c>
      <c r="I5" s="4" t="s">
        <v>11</v>
      </c>
      <c r="J5" s="4" t="s">
        <v>12</v>
      </c>
      <c r="K5" s="4" t="s">
        <v>13</v>
      </c>
      <c r="L5" s="4" t="s">
        <v>14</v>
      </c>
      <c r="M5" s="4" t="s">
        <v>15</v>
      </c>
      <c r="N5" s="4" t="s">
        <v>16</v>
      </c>
    </row>
    <row r="6" spans="1:14" x14ac:dyDescent="0.3">
      <c r="A6" s="5" t="s">
        <v>383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</row>
    <row r="7" spans="1:14" x14ac:dyDescent="0.3">
      <c r="A7" s="5" t="s">
        <v>384</v>
      </c>
      <c r="B7" s="7">
        <f>-26086.46</f>
        <v>-26086.46</v>
      </c>
      <c r="C7" s="7">
        <f>-122278.78</f>
        <v>-122278.78</v>
      </c>
      <c r="D7" s="7">
        <f>-242423.37</f>
        <v>-242423.37</v>
      </c>
      <c r="E7" s="7">
        <f>210800.75</f>
        <v>210800.75</v>
      </c>
      <c r="F7" s="7">
        <f>109908.57</f>
        <v>109908.57</v>
      </c>
      <c r="G7" s="7">
        <f>-118149.57</f>
        <v>-118149.57</v>
      </c>
      <c r="H7" s="7">
        <f>-14706.86</f>
        <v>-14706.86</v>
      </c>
      <c r="I7" s="7">
        <f>146446.62</f>
        <v>146446.62</v>
      </c>
      <c r="J7" s="7">
        <f>-253293.95</f>
        <v>-253293.95</v>
      </c>
      <c r="K7" s="7">
        <f>-232624.21</f>
        <v>-232624.21</v>
      </c>
      <c r="L7" s="7">
        <f>-114816.81</f>
        <v>-114816.81</v>
      </c>
      <c r="M7" s="7">
        <f>-197118.38</f>
        <v>-197118.38</v>
      </c>
      <c r="N7" s="7">
        <f t="shared" ref="N7:N23" si="0">(((((((((((B7)+(C7))+(D7))+(E7))+(F7))+(G7))+(H7))+(I7))+(J7))+(K7))+(L7))+(M7)</f>
        <v>-854342.45000000007</v>
      </c>
    </row>
    <row r="8" spans="1:14" x14ac:dyDescent="0.3">
      <c r="A8" s="5" t="s">
        <v>385</v>
      </c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7">
        <f t="shared" si="0"/>
        <v>0</v>
      </c>
    </row>
    <row r="9" spans="1:14" x14ac:dyDescent="0.3">
      <c r="A9" s="5" t="s">
        <v>386</v>
      </c>
      <c r="B9" s="6"/>
      <c r="C9" s="6"/>
      <c r="D9" s="6"/>
      <c r="E9" s="6"/>
      <c r="F9" s="7">
        <f>-14000</f>
        <v>-14000</v>
      </c>
      <c r="G9" s="6"/>
      <c r="H9" s="6"/>
      <c r="I9" s="6"/>
      <c r="J9" s="6"/>
      <c r="K9" s="6"/>
      <c r="L9" s="6"/>
      <c r="M9" s="6"/>
      <c r="N9" s="7">
        <f t="shared" si="0"/>
        <v>-14000</v>
      </c>
    </row>
    <row r="10" spans="1:14" x14ac:dyDescent="0.3">
      <c r="A10" s="5" t="s">
        <v>387</v>
      </c>
      <c r="B10" s="7">
        <f>-11247.46</f>
        <v>-11247.46</v>
      </c>
      <c r="C10" s="7">
        <f>-39131.17</f>
        <v>-39131.17</v>
      </c>
      <c r="D10" s="7">
        <f>-117908.46</f>
        <v>-117908.46</v>
      </c>
      <c r="E10" s="7">
        <f>29050.1</f>
        <v>29050.1</v>
      </c>
      <c r="F10" s="7">
        <f>-59726.77</f>
        <v>-59726.77</v>
      </c>
      <c r="G10" s="7">
        <f>-131219.93</f>
        <v>-131219.93</v>
      </c>
      <c r="H10" s="7">
        <f>-223567.38</f>
        <v>-223567.38</v>
      </c>
      <c r="I10" s="7">
        <f>-98659.77</f>
        <v>-98659.77</v>
      </c>
      <c r="J10" s="7">
        <f>-166548.95</f>
        <v>-166548.95000000001</v>
      </c>
      <c r="K10" s="7">
        <f>-118899.13</f>
        <v>-118899.13</v>
      </c>
      <c r="L10" s="7">
        <f>-358406.09</f>
        <v>-358406.09</v>
      </c>
      <c r="M10" s="7">
        <f>189242.98</f>
        <v>189242.98</v>
      </c>
      <c r="N10" s="7">
        <f t="shared" si="0"/>
        <v>-1107022.03</v>
      </c>
    </row>
    <row r="11" spans="1:14" x14ac:dyDescent="0.3">
      <c r="A11" s="5" t="s">
        <v>388</v>
      </c>
      <c r="B11" s="7">
        <f t="shared" ref="B11:K11" si="1">219.31</f>
        <v>219.31</v>
      </c>
      <c r="C11" s="7">
        <f t="shared" si="1"/>
        <v>219.31</v>
      </c>
      <c r="D11" s="7">
        <f t="shared" si="1"/>
        <v>219.31</v>
      </c>
      <c r="E11" s="7">
        <f t="shared" si="1"/>
        <v>219.31</v>
      </c>
      <c r="F11" s="7">
        <f t="shared" si="1"/>
        <v>219.31</v>
      </c>
      <c r="G11" s="7">
        <f t="shared" si="1"/>
        <v>219.31</v>
      </c>
      <c r="H11" s="7">
        <f t="shared" si="1"/>
        <v>219.31</v>
      </c>
      <c r="I11" s="7">
        <f t="shared" si="1"/>
        <v>219.31</v>
      </c>
      <c r="J11" s="7">
        <f t="shared" si="1"/>
        <v>219.31</v>
      </c>
      <c r="K11" s="7">
        <f t="shared" si="1"/>
        <v>219.31</v>
      </c>
      <c r="L11" s="7">
        <f>-64103.08</f>
        <v>-64103.08</v>
      </c>
      <c r="M11" s="7">
        <f>64541.7</f>
        <v>64541.7</v>
      </c>
      <c r="N11" s="7">
        <f t="shared" si="0"/>
        <v>2631.7199999999939</v>
      </c>
    </row>
    <row r="12" spans="1:14" x14ac:dyDescent="0.3">
      <c r="A12" s="5" t="s">
        <v>389</v>
      </c>
      <c r="B12" s="7">
        <f>-3799.17</f>
        <v>-3799.17</v>
      </c>
      <c r="C12" s="7">
        <f>3799.17</f>
        <v>3799.17</v>
      </c>
      <c r="D12" s="7">
        <f>6657</f>
        <v>6657</v>
      </c>
      <c r="E12" s="7">
        <f>-6657</f>
        <v>-6657</v>
      </c>
      <c r="F12" s="7">
        <f>36072.6</f>
        <v>36072.6</v>
      </c>
      <c r="G12" s="7">
        <f>69694.95</f>
        <v>69694.95</v>
      </c>
      <c r="H12" s="7">
        <f>187280.15</f>
        <v>187280.15</v>
      </c>
      <c r="I12" s="7">
        <f>102010.5</f>
        <v>102010.5</v>
      </c>
      <c r="J12" s="7">
        <f>34946</f>
        <v>34946</v>
      </c>
      <c r="K12" s="7">
        <f>114541.59</f>
        <v>114541.59</v>
      </c>
      <c r="L12" s="7">
        <f>111407.37</f>
        <v>111407.37</v>
      </c>
      <c r="M12" s="7">
        <f>-26765.13</f>
        <v>-26765.13</v>
      </c>
      <c r="N12" s="7">
        <f t="shared" si="0"/>
        <v>629188.02999999991</v>
      </c>
    </row>
    <row r="13" spans="1:14" x14ac:dyDescent="0.3">
      <c r="A13" s="5" t="s">
        <v>390</v>
      </c>
      <c r="B13" s="7">
        <f>23104.45</f>
        <v>23104.45</v>
      </c>
      <c r="C13" s="7">
        <f>29118.4</f>
        <v>29118.400000000001</v>
      </c>
      <c r="D13" s="7">
        <f>60970.2</f>
        <v>60970.2</v>
      </c>
      <c r="E13" s="7">
        <f>-41179.35</f>
        <v>-41179.35</v>
      </c>
      <c r="F13" s="7">
        <f>-30201.37</f>
        <v>-30201.37</v>
      </c>
      <c r="G13" s="7">
        <f>265321.23</f>
        <v>265321.23</v>
      </c>
      <c r="H13" s="7">
        <f>-191831.52</f>
        <v>-191831.52</v>
      </c>
      <c r="I13" s="7">
        <f>236625.47</f>
        <v>236625.47</v>
      </c>
      <c r="J13" s="7">
        <f>94777.72</f>
        <v>94777.72</v>
      </c>
      <c r="K13" s="7">
        <f>-470401.04</f>
        <v>-470401.04</v>
      </c>
      <c r="L13" s="7">
        <f>388047.28</f>
        <v>388047.28</v>
      </c>
      <c r="M13" s="7">
        <f>-136354.13</f>
        <v>-136354.13</v>
      </c>
      <c r="N13" s="7">
        <f t="shared" si="0"/>
        <v>227997.34000000003</v>
      </c>
    </row>
    <row r="14" spans="1:14" x14ac:dyDescent="0.3">
      <c r="A14" s="5" t="s">
        <v>391</v>
      </c>
      <c r="B14" s="6"/>
      <c r="C14" s="6"/>
      <c r="D14" s="7">
        <f>9531.29</f>
        <v>9531.2900000000009</v>
      </c>
      <c r="E14" s="7">
        <f>-9531.29</f>
        <v>-9531.2900000000009</v>
      </c>
      <c r="F14" s="7">
        <f>90.38</f>
        <v>90.38</v>
      </c>
      <c r="G14" s="7">
        <f>-90.38</f>
        <v>-90.38</v>
      </c>
      <c r="H14" s="6"/>
      <c r="I14" s="6"/>
      <c r="J14" s="6"/>
      <c r="K14" s="7">
        <f>27034.95</f>
        <v>27034.95</v>
      </c>
      <c r="L14" s="7">
        <f>52395.26</f>
        <v>52395.26</v>
      </c>
      <c r="M14" s="7">
        <f>-31094.24</f>
        <v>-31094.240000000002</v>
      </c>
      <c r="N14" s="7">
        <f t="shared" si="0"/>
        <v>48335.97</v>
      </c>
    </row>
    <row r="15" spans="1:14" x14ac:dyDescent="0.3">
      <c r="A15" s="5" t="s">
        <v>392</v>
      </c>
      <c r="B15" s="7">
        <f>18750</f>
        <v>18750</v>
      </c>
      <c r="C15" s="7">
        <f>18733.1</f>
        <v>18733.099999999999</v>
      </c>
      <c r="D15" s="7">
        <f>-37483.1</f>
        <v>-37483.1</v>
      </c>
      <c r="E15" s="7">
        <f>31866.82</f>
        <v>31866.82</v>
      </c>
      <c r="F15" s="7">
        <f>-10198.78</f>
        <v>-10198.780000000001</v>
      </c>
      <c r="G15" s="7">
        <f>24276.21</f>
        <v>24276.21</v>
      </c>
      <c r="H15" s="7">
        <f>50045.89</f>
        <v>50045.89</v>
      </c>
      <c r="I15" s="7">
        <f>-63738.06</f>
        <v>-63738.06</v>
      </c>
      <c r="J15" s="7">
        <f>51843.71</f>
        <v>51843.71</v>
      </c>
      <c r="K15" s="7">
        <f>25581.2</f>
        <v>25581.200000000001</v>
      </c>
      <c r="L15" s="7">
        <f>-35877.85</f>
        <v>-35877.85</v>
      </c>
      <c r="M15" s="7">
        <f>24107.81</f>
        <v>24107.81</v>
      </c>
      <c r="N15" s="7">
        <f t="shared" si="0"/>
        <v>97906.950000000012</v>
      </c>
    </row>
    <row r="16" spans="1:14" x14ac:dyDescent="0.3">
      <c r="A16" s="5" t="s">
        <v>393</v>
      </c>
      <c r="B16" s="7">
        <f>-16545.35</f>
        <v>-16545.349999999999</v>
      </c>
      <c r="C16" s="7">
        <f>-43731.14</f>
        <v>-43731.14</v>
      </c>
      <c r="D16" s="7">
        <f>57512.66</f>
        <v>57512.66</v>
      </c>
      <c r="E16" s="7">
        <f>-9021.39</f>
        <v>-9021.39</v>
      </c>
      <c r="F16" s="7">
        <f>-11937.96</f>
        <v>-11937.96</v>
      </c>
      <c r="G16" s="7">
        <f>-33745.53</f>
        <v>-33745.53</v>
      </c>
      <c r="H16" s="7">
        <f>42890.44</f>
        <v>42890.44</v>
      </c>
      <c r="I16" s="7">
        <f>-1312.18</f>
        <v>-1312.18</v>
      </c>
      <c r="J16" s="7">
        <f>625.74</f>
        <v>625.74</v>
      </c>
      <c r="K16" s="7">
        <f>35953.27</f>
        <v>35953.269999999997</v>
      </c>
      <c r="L16" s="7">
        <f>6550.01</f>
        <v>6550.01</v>
      </c>
      <c r="M16" s="7">
        <f>-25534.77</f>
        <v>-25534.77</v>
      </c>
      <c r="N16" s="7">
        <f t="shared" si="0"/>
        <v>1703.8000000000065</v>
      </c>
    </row>
    <row r="17" spans="1:14" x14ac:dyDescent="0.3">
      <c r="A17" s="5" t="s">
        <v>394</v>
      </c>
      <c r="B17" s="6"/>
      <c r="C17" s="6"/>
      <c r="D17" s="6"/>
      <c r="E17" s="6"/>
      <c r="F17" s="6"/>
      <c r="G17" s="6"/>
      <c r="H17" s="6"/>
      <c r="I17" s="6"/>
      <c r="J17" s="6"/>
      <c r="K17" s="7">
        <f>361.7</f>
        <v>361.7</v>
      </c>
      <c r="L17" s="7">
        <f>558.81</f>
        <v>558.80999999999995</v>
      </c>
      <c r="M17" s="7">
        <f>1473.03</f>
        <v>1473.03</v>
      </c>
      <c r="N17" s="7">
        <f t="shared" si="0"/>
        <v>2393.54</v>
      </c>
    </row>
    <row r="18" spans="1:14" x14ac:dyDescent="0.3">
      <c r="A18" s="5" t="s">
        <v>395</v>
      </c>
      <c r="B18" s="7">
        <f>9.78</f>
        <v>9.7799999999999994</v>
      </c>
      <c r="C18" s="7">
        <f>120.95</f>
        <v>120.95</v>
      </c>
      <c r="D18" s="7">
        <f>67.97</f>
        <v>67.97</v>
      </c>
      <c r="E18" s="7">
        <f>-8.29</f>
        <v>-8.2899999999999991</v>
      </c>
      <c r="F18" s="7">
        <f>27.91</f>
        <v>27.91</v>
      </c>
      <c r="G18" s="7">
        <f>-218.32</f>
        <v>-218.32</v>
      </c>
      <c r="H18" s="7">
        <f>0</f>
        <v>0</v>
      </c>
      <c r="I18" s="6"/>
      <c r="J18" s="6"/>
      <c r="K18" s="6"/>
      <c r="L18" s="6"/>
      <c r="M18" s="6"/>
      <c r="N18" s="7">
        <f t="shared" si="0"/>
        <v>0</v>
      </c>
    </row>
    <row r="19" spans="1:14" x14ac:dyDescent="0.3">
      <c r="A19" s="5" t="s">
        <v>396</v>
      </c>
      <c r="B19" s="7">
        <f>-4460.19</f>
        <v>-4460.1899999999996</v>
      </c>
      <c r="C19" s="7">
        <f>-4514.89</f>
        <v>-4514.8900000000003</v>
      </c>
      <c r="D19" s="7">
        <f>-4570.27</f>
        <v>-4570.2700000000004</v>
      </c>
      <c r="E19" s="7">
        <f>-4626.32</f>
        <v>-4626.32</v>
      </c>
      <c r="F19" s="7">
        <f>-4683.06</f>
        <v>-4683.0600000000004</v>
      </c>
      <c r="G19" s="7">
        <f>-4740.5</f>
        <v>-4740.5</v>
      </c>
      <c r="H19" s="7">
        <f>-4798.65</f>
        <v>-4798.6499999999996</v>
      </c>
      <c r="I19" s="7">
        <f>-4857.5</f>
        <v>-4857.5</v>
      </c>
      <c r="J19" s="7">
        <f>-4917.08</f>
        <v>-4917.08</v>
      </c>
      <c r="K19" s="7">
        <f>-4977.39</f>
        <v>-4977.3900000000003</v>
      </c>
      <c r="L19" s="7">
        <f>-5038.43</f>
        <v>-5038.43</v>
      </c>
      <c r="M19" s="7">
        <f>-5100.23</f>
        <v>-5100.2299999999996</v>
      </c>
      <c r="N19" s="7">
        <f t="shared" si="0"/>
        <v>-57284.509999999995</v>
      </c>
    </row>
    <row r="20" spans="1:14" x14ac:dyDescent="0.3">
      <c r="A20" s="5" t="s">
        <v>397</v>
      </c>
      <c r="B20" s="7">
        <f>0</f>
        <v>0</v>
      </c>
      <c r="C20" s="7">
        <f>0</f>
        <v>0</v>
      </c>
      <c r="D20" s="7">
        <f>396.91</f>
        <v>396.91</v>
      </c>
      <c r="E20" s="7">
        <f>-396.91</f>
        <v>-396.91</v>
      </c>
      <c r="F20" s="7">
        <f>-46376.04</f>
        <v>-46376.04</v>
      </c>
      <c r="G20" s="7">
        <f>46376.04</f>
        <v>46376.04</v>
      </c>
      <c r="H20" s="6"/>
      <c r="I20" s="6"/>
      <c r="J20" s="6"/>
      <c r="K20" s="6"/>
      <c r="L20" s="6"/>
      <c r="M20" s="6"/>
      <c r="N20" s="7">
        <f t="shared" si="0"/>
        <v>0</v>
      </c>
    </row>
    <row r="21" spans="1:14" x14ac:dyDescent="0.3">
      <c r="A21" s="5" t="s">
        <v>398</v>
      </c>
      <c r="B21" s="6"/>
      <c r="C21" s="6"/>
      <c r="D21" s="6"/>
      <c r="E21" s="6"/>
      <c r="F21" s="6"/>
      <c r="G21" s="6"/>
      <c r="H21" s="6"/>
      <c r="I21" s="6"/>
      <c r="J21" s="6"/>
      <c r="K21" s="7">
        <f>11029.96</f>
        <v>11029.96</v>
      </c>
      <c r="L21" s="6"/>
      <c r="M21" s="6"/>
      <c r="N21" s="7">
        <f t="shared" si="0"/>
        <v>11029.96</v>
      </c>
    </row>
    <row r="22" spans="1:14" x14ac:dyDescent="0.3">
      <c r="A22" s="5" t="s">
        <v>399</v>
      </c>
      <c r="B22" s="8">
        <f t="shared" ref="B22:M22" si="2">(((((((((((((B8)+(B9))+(B10))+(B11))+(B12))+(B13))+(B14))+(B15))+(B16))+(B17))+(B18))+(B19))+(B20))+(B21)</f>
        <v>6031.3700000000035</v>
      </c>
      <c r="C22" s="8">
        <f t="shared" si="2"/>
        <v>-35386.270000000004</v>
      </c>
      <c r="D22" s="8">
        <f t="shared" si="2"/>
        <v>-24606.490000000005</v>
      </c>
      <c r="E22" s="8">
        <f t="shared" si="2"/>
        <v>-10284.32</v>
      </c>
      <c r="F22" s="8">
        <f t="shared" si="2"/>
        <v>-140713.78</v>
      </c>
      <c r="G22" s="8">
        <f t="shared" si="2"/>
        <v>235873.08</v>
      </c>
      <c r="H22" s="8">
        <f t="shared" si="2"/>
        <v>-139761.75999999998</v>
      </c>
      <c r="I22" s="8">
        <f t="shared" si="2"/>
        <v>170287.77000000002</v>
      </c>
      <c r="J22" s="8">
        <f t="shared" si="2"/>
        <v>10946.449999999986</v>
      </c>
      <c r="K22" s="8">
        <f t="shared" si="2"/>
        <v>-379555.57999999996</v>
      </c>
      <c r="L22" s="8">
        <f t="shared" si="2"/>
        <v>95533.27999999997</v>
      </c>
      <c r="M22" s="8">
        <f t="shared" si="2"/>
        <v>54517.019999999975</v>
      </c>
      <c r="N22" s="8">
        <f t="shared" si="0"/>
        <v>-157119.22999999998</v>
      </c>
    </row>
    <row r="23" spans="1:14" x14ac:dyDescent="0.3">
      <c r="A23" s="5" t="s">
        <v>400</v>
      </c>
      <c r="B23" s="8">
        <f t="shared" ref="B23:M23" si="3">(B7)+(B22)</f>
        <v>-20055.089999999997</v>
      </c>
      <c r="C23" s="8">
        <f t="shared" si="3"/>
        <v>-157665.04999999999</v>
      </c>
      <c r="D23" s="8">
        <f t="shared" si="3"/>
        <v>-267029.86</v>
      </c>
      <c r="E23" s="8">
        <f t="shared" si="3"/>
        <v>200516.43</v>
      </c>
      <c r="F23" s="8">
        <f t="shared" si="3"/>
        <v>-30805.209999999992</v>
      </c>
      <c r="G23" s="8">
        <f t="shared" si="3"/>
        <v>117723.50999999998</v>
      </c>
      <c r="H23" s="8">
        <f t="shared" si="3"/>
        <v>-154468.62</v>
      </c>
      <c r="I23" s="8">
        <f t="shared" si="3"/>
        <v>316734.39</v>
      </c>
      <c r="J23" s="8">
        <f t="shared" si="3"/>
        <v>-242347.50000000003</v>
      </c>
      <c r="K23" s="8">
        <f t="shared" si="3"/>
        <v>-612179.78999999992</v>
      </c>
      <c r="L23" s="8">
        <f t="shared" si="3"/>
        <v>-19283.530000000028</v>
      </c>
      <c r="M23" s="8">
        <f t="shared" si="3"/>
        <v>-142601.36000000004</v>
      </c>
      <c r="N23" s="8">
        <f t="shared" si="0"/>
        <v>-1011461.6799999999</v>
      </c>
    </row>
    <row r="24" spans="1:14" x14ac:dyDescent="0.3">
      <c r="A24" s="5" t="s">
        <v>401</v>
      </c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</row>
    <row r="25" spans="1:14" x14ac:dyDescent="0.3">
      <c r="A25" s="5" t="s">
        <v>402</v>
      </c>
      <c r="B25" s="6"/>
      <c r="C25" s="6"/>
      <c r="D25" s="6"/>
      <c r="E25" s="6"/>
      <c r="F25" s="7">
        <f>200002.02</f>
        <v>200002.02</v>
      </c>
      <c r="G25" s="7">
        <f>15003.75</f>
        <v>15003.75</v>
      </c>
      <c r="H25" s="7">
        <f>500000</f>
        <v>500000</v>
      </c>
      <c r="I25" s="7">
        <f>10000.41</f>
        <v>10000.41</v>
      </c>
      <c r="J25" s="6"/>
      <c r="K25" s="6"/>
      <c r="L25" s="6"/>
      <c r="M25" s="7">
        <f>0.71</f>
        <v>0.71</v>
      </c>
      <c r="N25" s="7">
        <f>(((((((((((B25)+(C25))+(D25))+(E25))+(F25))+(G25))+(H25))+(I25))+(J25))+(K25))+(L25))+(M25)</f>
        <v>725006.89</v>
      </c>
    </row>
    <row r="26" spans="1:14" x14ac:dyDescent="0.3">
      <c r="A26" s="5" t="s">
        <v>403</v>
      </c>
      <c r="B26" s="8">
        <f t="shared" ref="B26:M26" si="4">B25</f>
        <v>0</v>
      </c>
      <c r="C26" s="8">
        <f t="shared" si="4"/>
        <v>0</v>
      </c>
      <c r="D26" s="8">
        <f t="shared" si="4"/>
        <v>0</v>
      </c>
      <c r="E26" s="8">
        <f t="shared" si="4"/>
        <v>0</v>
      </c>
      <c r="F26" s="8">
        <f t="shared" si="4"/>
        <v>200002.02</v>
      </c>
      <c r="G26" s="8">
        <f t="shared" si="4"/>
        <v>15003.75</v>
      </c>
      <c r="H26" s="8">
        <f t="shared" si="4"/>
        <v>500000</v>
      </c>
      <c r="I26" s="8">
        <f t="shared" si="4"/>
        <v>10000.41</v>
      </c>
      <c r="J26" s="8">
        <f t="shared" si="4"/>
        <v>0</v>
      </c>
      <c r="K26" s="8">
        <f t="shared" si="4"/>
        <v>0</v>
      </c>
      <c r="L26" s="8">
        <f t="shared" si="4"/>
        <v>0</v>
      </c>
      <c r="M26" s="8">
        <f t="shared" si="4"/>
        <v>0.71</v>
      </c>
      <c r="N26" s="8">
        <f>(((((((((((B26)+(C26))+(D26))+(E26))+(F26))+(G26))+(H26))+(I26))+(J26))+(K26))+(L26))+(M26)</f>
        <v>725006.89</v>
      </c>
    </row>
    <row r="27" spans="1:14" x14ac:dyDescent="0.3">
      <c r="A27" s="5" t="s">
        <v>404</v>
      </c>
      <c r="B27" s="8">
        <f t="shared" ref="B27:M27" si="5">(B23)+(B26)</f>
        <v>-20055.089999999997</v>
      </c>
      <c r="C27" s="8">
        <f t="shared" si="5"/>
        <v>-157665.04999999999</v>
      </c>
      <c r="D27" s="8">
        <f t="shared" si="5"/>
        <v>-267029.86</v>
      </c>
      <c r="E27" s="8">
        <f t="shared" si="5"/>
        <v>200516.43</v>
      </c>
      <c r="F27" s="8">
        <f t="shared" si="5"/>
        <v>169196.81</v>
      </c>
      <c r="G27" s="8">
        <f t="shared" si="5"/>
        <v>132727.25999999998</v>
      </c>
      <c r="H27" s="8">
        <f t="shared" si="5"/>
        <v>345531.38</v>
      </c>
      <c r="I27" s="8">
        <f t="shared" si="5"/>
        <v>326734.8</v>
      </c>
      <c r="J27" s="8">
        <f t="shared" si="5"/>
        <v>-242347.50000000003</v>
      </c>
      <c r="K27" s="8">
        <f t="shared" si="5"/>
        <v>-612179.78999999992</v>
      </c>
      <c r="L27" s="8">
        <f t="shared" si="5"/>
        <v>-19283.530000000028</v>
      </c>
      <c r="M27" s="8">
        <f t="shared" si="5"/>
        <v>-142600.65000000005</v>
      </c>
      <c r="N27" s="8">
        <f>(((((((((((B27)+(C27))+(D27))+(E27))+(F27))+(G27))+(H27))+(I27))+(J27))+(K27))+(L27))+(M27)</f>
        <v>-286454.79000000004</v>
      </c>
    </row>
    <row r="28" spans="1:14" x14ac:dyDescent="0.3">
      <c r="A28" s="5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</row>
    <row r="31" spans="1:14" x14ac:dyDescent="0.3">
      <c r="A31" s="12" t="s">
        <v>405</v>
      </c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</row>
  </sheetData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3" tint="0.79998168889431442"/>
  </sheetPr>
  <dimension ref="A1:N40"/>
  <sheetViews>
    <sheetView workbookViewId="0"/>
  </sheetViews>
  <sheetFormatPr defaultColWidth="9" defaultRowHeight="14.4" x14ac:dyDescent="0.3"/>
  <cols>
    <col min="1" max="1" width="69.5546875" style="2" customWidth="1"/>
    <col min="2" max="2" width="10.33203125" style="2" customWidth="1"/>
    <col min="3" max="3" width="11.109375" style="2" customWidth="1"/>
    <col min="4" max="6" width="9.44140625" style="2" customWidth="1"/>
    <col min="7" max="7" width="11.109375" style="2" customWidth="1"/>
    <col min="8" max="8" width="10.33203125" style="2" customWidth="1"/>
    <col min="9" max="13" width="11.109375" style="2" customWidth="1"/>
    <col min="14" max="14" width="12" style="2" customWidth="1"/>
    <col min="15" max="16384" width="9" style="2"/>
  </cols>
  <sheetData>
    <row r="1" spans="1:14" ht="17.399999999999999" x14ac:dyDescent="0.3">
      <c r="A1" s="9" t="s">
        <v>1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</row>
    <row r="2" spans="1:14" ht="17.399999999999999" x14ac:dyDescent="0.3">
      <c r="A2" s="9" t="s">
        <v>382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3">
      <c r="A3" s="11" t="s">
        <v>117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</row>
    <row r="5" spans="1:14" x14ac:dyDescent="0.3">
      <c r="A5" s="3"/>
      <c r="B5" s="4" t="s">
        <v>118</v>
      </c>
      <c r="C5" s="4" t="s">
        <v>119</v>
      </c>
      <c r="D5" s="4" t="s">
        <v>120</v>
      </c>
      <c r="E5" s="4" t="s">
        <v>121</v>
      </c>
      <c r="F5" s="4" t="s">
        <v>122</v>
      </c>
      <c r="G5" s="4" t="s">
        <v>123</v>
      </c>
      <c r="H5" s="4" t="s">
        <v>124</v>
      </c>
      <c r="I5" s="4" t="s">
        <v>125</v>
      </c>
      <c r="J5" s="4" t="s">
        <v>126</v>
      </c>
      <c r="K5" s="4" t="s">
        <v>127</v>
      </c>
      <c r="L5" s="4" t="s">
        <v>128</v>
      </c>
      <c r="M5" s="4" t="s">
        <v>129</v>
      </c>
      <c r="N5" s="4" t="s">
        <v>16</v>
      </c>
    </row>
    <row r="6" spans="1:14" x14ac:dyDescent="0.3">
      <c r="A6" s="5" t="s">
        <v>383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</row>
    <row r="7" spans="1:14" x14ac:dyDescent="0.3">
      <c r="A7" s="5" t="s">
        <v>384</v>
      </c>
      <c r="B7" s="7">
        <f>-47833.05</f>
        <v>-47833.05</v>
      </c>
      <c r="C7" s="7">
        <f>-28274.82</f>
        <v>-28274.82</v>
      </c>
      <c r="D7" s="7">
        <f>-3610.88</f>
        <v>-3610.88</v>
      </c>
      <c r="E7" s="7">
        <f>-33102.84</f>
        <v>-33102.839999999997</v>
      </c>
      <c r="F7" s="7">
        <f>4176.38</f>
        <v>4176.38</v>
      </c>
      <c r="G7" s="7">
        <f>17105.4</f>
        <v>17105.400000000001</v>
      </c>
      <c r="H7" s="7">
        <f>-16171.48</f>
        <v>-16171.48</v>
      </c>
      <c r="I7" s="7">
        <f>4728.6</f>
        <v>4728.6000000000004</v>
      </c>
      <c r="J7" s="7">
        <f>-22379.62</f>
        <v>-22379.62</v>
      </c>
      <c r="K7" s="7">
        <f>-64443.49</f>
        <v>-64443.49</v>
      </c>
      <c r="L7" s="7">
        <f>4665.3</f>
        <v>4665.3</v>
      </c>
      <c r="M7" s="7">
        <f>-36773.25</f>
        <v>-36773.25</v>
      </c>
      <c r="N7" s="7">
        <f t="shared" ref="N7:N26" si="0">(((((((((((B7)+(C7))+(D7))+(E7))+(F7))+(G7))+(H7))+(I7))+(J7))+(K7))+(L7))+(M7)</f>
        <v>-221913.75</v>
      </c>
    </row>
    <row r="8" spans="1:14" x14ac:dyDescent="0.3">
      <c r="A8" s="5" t="s">
        <v>385</v>
      </c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7">
        <f t="shared" si="0"/>
        <v>0</v>
      </c>
    </row>
    <row r="9" spans="1:14" x14ac:dyDescent="0.3">
      <c r="A9" s="5" t="s">
        <v>387</v>
      </c>
      <c r="B9" s="7">
        <f>-17248.31</f>
        <v>-17248.310000000001</v>
      </c>
      <c r="C9" s="7">
        <f>-37839.33</f>
        <v>-37839.33</v>
      </c>
      <c r="D9" s="7">
        <f>-25368.74</f>
        <v>-25368.74</v>
      </c>
      <c r="E9" s="7">
        <f>25870.33</f>
        <v>25870.33</v>
      </c>
      <c r="F9" s="7">
        <f>-6190.07</f>
        <v>-6190.07</v>
      </c>
      <c r="G9" s="7">
        <f>-24144.3</f>
        <v>-24144.3</v>
      </c>
      <c r="H9" s="7">
        <f>-16023.25</f>
        <v>-16023.25</v>
      </c>
      <c r="I9" s="7">
        <f>-29605.5</f>
        <v>-29605.5</v>
      </c>
      <c r="J9" s="7">
        <f>281.4</f>
        <v>281.39999999999998</v>
      </c>
      <c r="K9" s="7">
        <f>15627.84</f>
        <v>15627.84</v>
      </c>
      <c r="L9" s="7">
        <f>-23952.31</f>
        <v>-23952.31</v>
      </c>
      <c r="M9" s="7">
        <f>-27340.53</f>
        <v>-27340.53</v>
      </c>
      <c r="N9" s="7">
        <f t="shared" si="0"/>
        <v>-165932.77000000002</v>
      </c>
    </row>
    <row r="10" spans="1:14" x14ac:dyDescent="0.3">
      <c r="A10" s="5" t="s">
        <v>388</v>
      </c>
      <c r="B10" s="6"/>
      <c r="C10" s="7">
        <f>-8991.69</f>
        <v>-8991.69</v>
      </c>
      <c r="D10" s="7">
        <f t="shared" ref="D10:M10" si="1">219.31</f>
        <v>219.31</v>
      </c>
      <c r="E10" s="7">
        <f t="shared" si="1"/>
        <v>219.31</v>
      </c>
      <c r="F10" s="7">
        <f t="shared" si="1"/>
        <v>219.31</v>
      </c>
      <c r="G10" s="7">
        <f t="shared" si="1"/>
        <v>219.31</v>
      </c>
      <c r="H10" s="7">
        <f t="shared" si="1"/>
        <v>219.31</v>
      </c>
      <c r="I10" s="7">
        <f t="shared" si="1"/>
        <v>219.31</v>
      </c>
      <c r="J10" s="7">
        <f t="shared" si="1"/>
        <v>219.31</v>
      </c>
      <c r="K10" s="7">
        <f t="shared" si="1"/>
        <v>219.31</v>
      </c>
      <c r="L10" s="7">
        <f t="shared" si="1"/>
        <v>219.31</v>
      </c>
      <c r="M10" s="7">
        <f t="shared" si="1"/>
        <v>219.31</v>
      </c>
      <c r="N10" s="7">
        <f t="shared" si="0"/>
        <v>-6798.5899999999992</v>
      </c>
    </row>
    <row r="11" spans="1:14" x14ac:dyDescent="0.3">
      <c r="A11" s="5" t="s">
        <v>433</v>
      </c>
      <c r="B11" s="6"/>
      <c r="C11" s="6"/>
      <c r="D11" s="6"/>
      <c r="E11" s="6"/>
      <c r="F11" s="6"/>
      <c r="G11" s="7">
        <f>0</f>
        <v>0</v>
      </c>
      <c r="H11" s="6"/>
      <c r="I11" s="6"/>
      <c r="J11" s="6"/>
      <c r="K11" s="6"/>
      <c r="L11" s="6"/>
      <c r="M11" s="6"/>
      <c r="N11" s="7">
        <f t="shared" si="0"/>
        <v>0</v>
      </c>
    </row>
    <row r="12" spans="1:14" x14ac:dyDescent="0.3">
      <c r="A12" s="5" t="s">
        <v>389</v>
      </c>
      <c r="B12" s="6"/>
      <c r="C12" s="6"/>
      <c r="D12" s="6"/>
      <c r="E12" s="6"/>
      <c r="F12" s="6"/>
      <c r="G12" s="6"/>
      <c r="H12" s="7">
        <f>0</f>
        <v>0</v>
      </c>
      <c r="I12" s="7">
        <f>26914.62</f>
        <v>26914.62</v>
      </c>
      <c r="J12" s="7">
        <f>4499.35</f>
        <v>4499.3500000000004</v>
      </c>
      <c r="K12" s="7">
        <f>-29273.67</f>
        <v>-29273.67</v>
      </c>
      <c r="L12" s="7">
        <f>4764.33</f>
        <v>4764.33</v>
      </c>
      <c r="M12" s="7">
        <f>-6904.63</f>
        <v>-6904.63</v>
      </c>
      <c r="N12" s="7">
        <f t="shared" si="0"/>
        <v>0</v>
      </c>
    </row>
    <row r="13" spans="1:14" x14ac:dyDescent="0.3">
      <c r="A13" s="5" t="s">
        <v>406</v>
      </c>
      <c r="B13" s="7">
        <f>-3970</f>
        <v>-3970</v>
      </c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7">
        <f t="shared" si="0"/>
        <v>-3970</v>
      </c>
    </row>
    <row r="14" spans="1:14" x14ac:dyDescent="0.3">
      <c r="A14" s="5" t="s">
        <v>407</v>
      </c>
      <c r="B14" s="7">
        <f>8642.29</f>
        <v>8642.2900000000009</v>
      </c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7">
        <f t="shared" si="0"/>
        <v>8642.2900000000009</v>
      </c>
    </row>
    <row r="15" spans="1:14" x14ac:dyDescent="0.3">
      <c r="A15" s="5" t="s">
        <v>390</v>
      </c>
      <c r="B15" s="6"/>
      <c r="C15" s="6"/>
      <c r="D15" s="7">
        <f>43706.97</f>
        <v>43706.97</v>
      </c>
      <c r="E15" s="7">
        <f>-12544.92</f>
        <v>-12544.92</v>
      </c>
      <c r="F15" s="7">
        <f>43717.14</f>
        <v>43717.14</v>
      </c>
      <c r="G15" s="7">
        <f>-20106.61</f>
        <v>-20106.61</v>
      </c>
      <c r="H15" s="7">
        <f>44942.46</f>
        <v>44942.46</v>
      </c>
      <c r="I15" s="7">
        <f>-43852.86</f>
        <v>-43852.86</v>
      </c>
      <c r="J15" s="7">
        <f>1997.9</f>
        <v>1997.9</v>
      </c>
      <c r="K15" s="7">
        <f>1487.04</f>
        <v>1487.04</v>
      </c>
      <c r="L15" s="7">
        <f>9869.99</f>
        <v>9869.99</v>
      </c>
      <c r="M15" s="7">
        <f>14320.23</f>
        <v>14320.23</v>
      </c>
      <c r="N15" s="7">
        <f t="shared" si="0"/>
        <v>83537.340000000011</v>
      </c>
    </row>
    <row r="16" spans="1:14" x14ac:dyDescent="0.3">
      <c r="A16" s="5" t="s">
        <v>408</v>
      </c>
      <c r="B16" s="7">
        <f>-258</f>
        <v>-258</v>
      </c>
      <c r="C16" s="7">
        <f>-13016.17</f>
        <v>-13016.17</v>
      </c>
      <c r="D16" s="6"/>
      <c r="E16" s="6"/>
      <c r="F16" s="6"/>
      <c r="G16" s="6"/>
      <c r="H16" s="6"/>
      <c r="I16" s="6"/>
      <c r="J16" s="6"/>
      <c r="K16" s="6"/>
      <c r="L16" s="6"/>
      <c r="M16" s="6"/>
      <c r="N16" s="7">
        <f t="shared" si="0"/>
        <v>-13274.17</v>
      </c>
    </row>
    <row r="17" spans="1:14" x14ac:dyDescent="0.3">
      <c r="A17" s="5" t="s">
        <v>409</v>
      </c>
      <c r="B17" s="7">
        <f>-28.7</f>
        <v>-28.7</v>
      </c>
      <c r="C17" s="7">
        <f>-1801.66</f>
        <v>-1801.66</v>
      </c>
      <c r="D17" s="7">
        <f>54.16</f>
        <v>54.16</v>
      </c>
      <c r="E17" s="7">
        <f>-61.72</f>
        <v>-61.72</v>
      </c>
      <c r="F17" s="6"/>
      <c r="G17" s="6"/>
      <c r="H17" s="6"/>
      <c r="I17" s="6"/>
      <c r="J17" s="6"/>
      <c r="K17" s="6"/>
      <c r="L17" s="6"/>
      <c r="M17" s="6"/>
      <c r="N17" s="7">
        <f t="shared" si="0"/>
        <v>-1837.92</v>
      </c>
    </row>
    <row r="18" spans="1:14" x14ac:dyDescent="0.3">
      <c r="A18" s="5" t="s">
        <v>393</v>
      </c>
      <c r="B18" s="6"/>
      <c r="C18" s="7">
        <f>1653.33</f>
        <v>1653.33</v>
      </c>
      <c r="D18" s="7">
        <f>7784.36</f>
        <v>7784.36</v>
      </c>
      <c r="E18" s="7">
        <f>9194.9</f>
        <v>9194.9</v>
      </c>
      <c r="F18" s="7">
        <f>-8589.46</f>
        <v>-8589.4599999999991</v>
      </c>
      <c r="G18" s="7">
        <f>-6715.74</f>
        <v>-6715.74</v>
      </c>
      <c r="H18" s="7">
        <f>8218.21</f>
        <v>8218.2099999999991</v>
      </c>
      <c r="I18" s="7">
        <f>-5075.17</f>
        <v>-5075.17</v>
      </c>
      <c r="J18" s="7">
        <f>-6164.07</f>
        <v>-6164.07</v>
      </c>
      <c r="K18" s="7">
        <f>30261.43</f>
        <v>30261.43</v>
      </c>
      <c r="L18" s="7">
        <f>-4409.05</f>
        <v>-4409.05</v>
      </c>
      <c r="M18" s="7">
        <f>34722.36</f>
        <v>34722.36</v>
      </c>
      <c r="N18" s="7">
        <f t="shared" si="0"/>
        <v>60881.1</v>
      </c>
    </row>
    <row r="19" spans="1:14" x14ac:dyDescent="0.3">
      <c r="A19" s="5" t="s">
        <v>395</v>
      </c>
      <c r="B19" s="7">
        <f>468.34</f>
        <v>468.34</v>
      </c>
      <c r="C19" s="7">
        <f>3994.1</f>
        <v>3994.1</v>
      </c>
      <c r="D19" s="7">
        <f>1090.25</f>
        <v>1090.25</v>
      </c>
      <c r="E19" s="7">
        <f>-770.34</f>
        <v>-770.34</v>
      </c>
      <c r="F19" s="7">
        <f>-5351.56</f>
        <v>-5351.56</v>
      </c>
      <c r="G19" s="7">
        <f>-9943.15</f>
        <v>-9943.15</v>
      </c>
      <c r="H19" s="7">
        <f>451.26</f>
        <v>451.26</v>
      </c>
      <c r="I19" s="7">
        <f>-389.71</f>
        <v>-389.71</v>
      </c>
      <c r="J19" s="7">
        <f>-13.6</f>
        <v>-13.6</v>
      </c>
      <c r="K19" s="7">
        <f>0</f>
        <v>0</v>
      </c>
      <c r="L19" s="7">
        <f>-70</f>
        <v>-70</v>
      </c>
      <c r="M19" s="6"/>
      <c r="N19" s="7">
        <f t="shared" si="0"/>
        <v>-10534.41</v>
      </c>
    </row>
    <row r="20" spans="1:14" x14ac:dyDescent="0.3">
      <c r="A20" s="5" t="s">
        <v>412</v>
      </c>
      <c r="B20" s="7">
        <f>-2046.48</f>
        <v>-2046.48</v>
      </c>
      <c r="C20" s="7">
        <f>-17687.51</f>
        <v>-17687.509999999998</v>
      </c>
      <c r="D20" s="6"/>
      <c r="E20" s="6"/>
      <c r="F20" s="6"/>
      <c r="G20" s="7">
        <f>-11000</f>
        <v>-11000</v>
      </c>
      <c r="H20" s="6"/>
      <c r="I20" s="6"/>
      <c r="J20" s="6"/>
      <c r="K20" s="6"/>
      <c r="L20" s="6"/>
      <c r="M20" s="6"/>
      <c r="N20" s="7">
        <f t="shared" si="0"/>
        <v>-30733.989999999998</v>
      </c>
    </row>
    <row r="21" spans="1:14" x14ac:dyDescent="0.3">
      <c r="A21" s="5" t="s">
        <v>396</v>
      </c>
      <c r="B21" s="7">
        <f>174953.15</f>
        <v>174953.15</v>
      </c>
      <c r="C21" s="7">
        <f>27122.85</f>
        <v>27122.85</v>
      </c>
      <c r="D21" s="7">
        <f>-3738.62</f>
        <v>-3738.62</v>
      </c>
      <c r="E21" s="7">
        <f>-3784.38</f>
        <v>-3784.38</v>
      </c>
      <c r="F21" s="7">
        <f>-3830.71</f>
        <v>-3830.71</v>
      </c>
      <c r="G21" s="7">
        <f>7122.4</f>
        <v>7122.4</v>
      </c>
      <c r="H21" s="7">
        <f>-3925.06</f>
        <v>-3925.06</v>
      </c>
      <c r="I21" s="7">
        <f>-3973.11</f>
        <v>-3973.11</v>
      </c>
      <c r="J21" s="7">
        <f>-4021.75</f>
        <v>-4021.75</v>
      </c>
      <c r="K21" s="7">
        <f>-5187.84</f>
        <v>-5187.84</v>
      </c>
      <c r="L21" s="7">
        <f>-4352.76</f>
        <v>-4352.76</v>
      </c>
      <c r="M21" s="7">
        <f>-4406.15</f>
        <v>-4406.1499999999996</v>
      </c>
      <c r="N21" s="7">
        <f t="shared" si="0"/>
        <v>171978.02000000002</v>
      </c>
    </row>
    <row r="22" spans="1:14" x14ac:dyDescent="0.3">
      <c r="A22" s="5" t="s">
        <v>413</v>
      </c>
      <c r="B22" s="6"/>
      <c r="C22" s="6"/>
      <c r="D22" s="6"/>
      <c r="E22" s="6"/>
      <c r="F22" s="6"/>
      <c r="G22" s="6"/>
      <c r="H22" s="6"/>
      <c r="I22" s="6"/>
      <c r="J22" s="6"/>
      <c r="K22" s="7">
        <f>-1692.32</f>
        <v>-1692.32</v>
      </c>
      <c r="L22" s="6"/>
      <c r="M22" s="6"/>
      <c r="N22" s="7">
        <f t="shared" si="0"/>
        <v>-1692.32</v>
      </c>
    </row>
    <row r="23" spans="1:14" x14ac:dyDescent="0.3">
      <c r="A23" s="5" t="s">
        <v>397</v>
      </c>
      <c r="B23" s="7">
        <f>0</f>
        <v>0</v>
      </c>
      <c r="C23" s="7">
        <f>0</f>
        <v>0</v>
      </c>
      <c r="D23" s="7">
        <f>0</f>
        <v>0</v>
      </c>
      <c r="E23" s="7">
        <f>19997.17</f>
        <v>19997.169999999998</v>
      </c>
      <c r="F23" s="7">
        <f>-19997.17</f>
        <v>-19997.169999999998</v>
      </c>
      <c r="G23" s="7">
        <f>0</f>
        <v>0</v>
      </c>
      <c r="H23" s="7">
        <f>0</f>
        <v>0</v>
      </c>
      <c r="I23" s="7">
        <f>0</f>
        <v>0</v>
      </c>
      <c r="J23" s="7">
        <f>0</f>
        <v>0</v>
      </c>
      <c r="K23" s="7">
        <f>0</f>
        <v>0</v>
      </c>
      <c r="L23" s="7">
        <f>0</f>
        <v>0</v>
      </c>
      <c r="M23" s="7">
        <f>0</f>
        <v>0</v>
      </c>
      <c r="N23" s="7">
        <f t="shared" si="0"/>
        <v>0</v>
      </c>
    </row>
    <row r="24" spans="1:14" x14ac:dyDescent="0.3">
      <c r="A24" s="5" t="s">
        <v>398</v>
      </c>
      <c r="B24" s="7">
        <f>-4725.73</f>
        <v>-4725.7299999999996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7">
        <f t="shared" si="0"/>
        <v>-4725.7299999999996</v>
      </c>
    </row>
    <row r="25" spans="1:14" x14ac:dyDescent="0.3">
      <c r="A25" s="5" t="s">
        <v>399</v>
      </c>
      <c r="B25" s="8">
        <f t="shared" ref="B25:M25" si="2">((((((((((((((((B8)+(B9))+(B10))+(B11))+(B12))+(B13))+(B14))+(B15))+(B16))+(B17))+(B18))+(B19))+(B20))+(B21))+(B22))+(B23))+(B24)</f>
        <v>155786.55999999997</v>
      </c>
      <c r="C25" s="8">
        <f t="shared" si="2"/>
        <v>-46566.080000000009</v>
      </c>
      <c r="D25" s="8">
        <f t="shared" si="2"/>
        <v>23747.690000000002</v>
      </c>
      <c r="E25" s="8">
        <f t="shared" si="2"/>
        <v>38120.35</v>
      </c>
      <c r="F25" s="8">
        <f t="shared" si="2"/>
        <v>-22.520000000000437</v>
      </c>
      <c r="G25" s="8">
        <f t="shared" si="2"/>
        <v>-64568.089999999989</v>
      </c>
      <c r="H25" s="8">
        <f t="shared" si="2"/>
        <v>33882.93</v>
      </c>
      <c r="I25" s="8">
        <f t="shared" si="2"/>
        <v>-55762.42</v>
      </c>
      <c r="J25" s="8">
        <f t="shared" si="2"/>
        <v>-3201.4599999999987</v>
      </c>
      <c r="K25" s="8">
        <f t="shared" si="2"/>
        <v>11441.79</v>
      </c>
      <c r="L25" s="8">
        <f t="shared" si="2"/>
        <v>-17930.489999999998</v>
      </c>
      <c r="M25" s="8">
        <f t="shared" si="2"/>
        <v>10610.590000000002</v>
      </c>
      <c r="N25" s="8">
        <f t="shared" si="0"/>
        <v>85538.849999999977</v>
      </c>
    </row>
    <row r="26" spans="1:14" x14ac:dyDescent="0.3">
      <c r="A26" s="5" t="s">
        <v>400</v>
      </c>
      <c r="B26" s="8">
        <f t="shared" ref="B26:M26" si="3">(B7)+(B25)</f>
        <v>107953.50999999997</v>
      </c>
      <c r="C26" s="8">
        <f t="shared" si="3"/>
        <v>-74840.900000000009</v>
      </c>
      <c r="D26" s="8">
        <f t="shared" si="3"/>
        <v>20136.810000000001</v>
      </c>
      <c r="E26" s="8">
        <f t="shared" si="3"/>
        <v>5017.510000000002</v>
      </c>
      <c r="F26" s="8">
        <f t="shared" si="3"/>
        <v>4153.8599999999997</v>
      </c>
      <c r="G26" s="8">
        <f t="shared" si="3"/>
        <v>-47462.689999999988</v>
      </c>
      <c r="H26" s="8">
        <f t="shared" si="3"/>
        <v>17711.45</v>
      </c>
      <c r="I26" s="8">
        <f t="shared" si="3"/>
        <v>-51033.82</v>
      </c>
      <c r="J26" s="8">
        <f t="shared" si="3"/>
        <v>-25581.079999999998</v>
      </c>
      <c r="K26" s="8">
        <f t="shared" si="3"/>
        <v>-53001.7</v>
      </c>
      <c r="L26" s="8">
        <f t="shared" si="3"/>
        <v>-13265.189999999999</v>
      </c>
      <c r="M26" s="8">
        <f t="shared" si="3"/>
        <v>-26162.659999999996</v>
      </c>
      <c r="N26" s="8">
        <f t="shared" si="0"/>
        <v>-136374.90000000002</v>
      </c>
    </row>
    <row r="27" spans="1:14" x14ac:dyDescent="0.3">
      <c r="A27" s="5" t="s">
        <v>401</v>
      </c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</row>
    <row r="28" spans="1:14" x14ac:dyDescent="0.3">
      <c r="A28" s="5" t="s">
        <v>423</v>
      </c>
      <c r="B28" s="6"/>
      <c r="C28" s="6"/>
      <c r="D28" s="6"/>
      <c r="E28" s="6"/>
      <c r="F28" s="6"/>
      <c r="G28" s="7">
        <f>-158000</f>
        <v>-158000</v>
      </c>
      <c r="H28" s="6"/>
      <c r="I28" s="6"/>
      <c r="J28" s="6"/>
      <c r="K28" s="6"/>
      <c r="L28" s="6"/>
      <c r="M28" s="6"/>
      <c r="N28" s="7">
        <f t="shared" ref="N28:N36" si="4">(((((((((((B28)+(C28))+(D28))+(E28))+(F28))+(G28))+(H28))+(I28))+(J28))+(K28))+(L28))+(M28)</f>
        <v>-158000</v>
      </c>
    </row>
    <row r="29" spans="1:14" x14ac:dyDescent="0.3">
      <c r="A29" s="5" t="s">
        <v>446</v>
      </c>
      <c r="B29" s="7">
        <f>7139.95</f>
        <v>7139.95</v>
      </c>
      <c r="C29" s="6"/>
      <c r="D29" s="6"/>
      <c r="E29" s="6"/>
      <c r="F29" s="6"/>
      <c r="G29" s="7">
        <f>-7139.95</f>
        <v>-7139.95</v>
      </c>
      <c r="H29" s="6"/>
      <c r="I29" s="6"/>
      <c r="J29" s="6"/>
      <c r="K29" s="6"/>
      <c r="L29" s="6"/>
      <c r="M29" s="6"/>
      <c r="N29" s="7">
        <f t="shared" si="4"/>
        <v>0</v>
      </c>
    </row>
    <row r="30" spans="1:14" x14ac:dyDescent="0.3">
      <c r="A30" s="5" t="s">
        <v>432</v>
      </c>
      <c r="B30" s="7">
        <f>2500</f>
        <v>2500</v>
      </c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7">
        <f t="shared" si="4"/>
        <v>2500</v>
      </c>
    </row>
    <row r="31" spans="1:14" x14ac:dyDescent="0.3">
      <c r="A31" s="5" t="s">
        <v>424</v>
      </c>
      <c r="B31" s="7">
        <f>-623.11</f>
        <v>-623.11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7">
        <f t="shared" si="4"/>
        <v>-623.11</v>
      </c>
    </row>
    <row r="32" spans="1:14" x14ac:dyDescent="0.3">
      <c r="A32" s="5" t="s">
        <v>429</v>
      </c>
      <c r="B32" s="7">
        <f>623.11</f>
        <v>623.11</v>
      </c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7">
        <f t="shared" si="4"/>
        <v>623.11</v>
      </c>
    </row>
    <row r="33" spans="1:14" x14ac:dyDescent="0.3">
      <c r="A33" s="5" t="s">
        <v>447</v>
      </c>
      <c r="B33" s="6"/>
      <c r="C33" s="6"/>
      <c r="D33" s="6"/>
      <c r="E33" s="6"/>
      <c r="F33" s="6"/>
      <c r="G33" s="7">
        <f>165139.95</f>
        <v>165139.95000000001</v>
      </c>
      <c r="H33" s="6"/>
      <c r="I33" s="6"/>
      <c r="J33" s="6"/>
      <c r="K33" s="6"/>
      <c r="L33" s="6"/>
      <c r="M33" s="6"/>
      <c r="N33" s="7">
        <f t="shared" si="4"/>
        <v>165139.95000000001</v>
      </c>
    </row>
    <row r="34" spans="1:14" x14ac:dyDescent="0.3">
      <c r="A34" s="5" t="s">
        <v>402</v>
      </c>
      <c r="B34" s="6"/>
      <c r="C34" s="6"/>
      <c r="D34" s="6"/>
      <c r="E34" s="6"/>
      <c r="F34" s="6"/>
      <c r="G34" s="7">
        <f>250000</f>
        <v>250000</v>
      </c>
      <c r="H34" s="7">
        <f>112000</f>
        <v>112000</v>
      </c>
      <c r="I34" s="7">
        <f>131500</f>
        <v>131500</v>
      </c>
      <c r="J34" s="7">
        <f>120000</f>
        <v>120000</v>
      </c>
      <c r="K34" s="7">
        <f>85000</f>
        <v>85000</v>
      </c>
      <c r="L34" s="7">
        <f>5898.66</f>
        <v>5898.66</v>
      </c>
      <c r="M34" s="7">
        <f>42116.39</f>
        <v>42116.39</v>
      </c>
      <c r="N34" s="7">
        <f t="shared" si="4"/>
        <v>746515.05</v>
      </c>
    </row>
    <row r="35" spans="1:14" x14ac:dyDescent="0.3">
      <c r="A35" s="5" t="s">
        <v>403</v>
      </c>
      <c r="B35" s="8">
        <f t="shared" ref="B35:M35" si="5">((((((B28)+(B29))+(B30))+(B31))+(B32))+(B33))+(B34)</f>
        <v>9639.9500000000007</v>
      </c>
      <c r="C35" s="8">
        <f t="shared" si="5"/>
        <v>0</v>
      </c>
      <c r="D35" s="8">
        <f t="shared" si="5"/>
        <v>0</v>
      </c>
      <c r="E35" s="8">
        <f t="shared" si="5"/>
        <v>0</v>
      </c>
      <c r="F35" s="8">
        <f t="shared" si="5"/>
        <v>0</v>
      </c>
      <c r="G35" s="8">
        <f t="shared" si="5"/>
        <v>250000</v>
      </c>
      <c r="H35" s="8">
        <f t="shared" si="5"/>
        <v>112000</v>
      </c>
      <c r="I35" s="8">
        <f t="shared" si="5"/>
        <v>131500</v>
      </c>
      <c r="J35" s="8">
        <f t="shared" si="5"/>
        <v>120000</v>
      </c>
      <c r="K35" s="8">
        <f t="shared" si="5"/>
        <v>85000</v>
      </c>
      <c r="L35" s="8">
        <f t="shared" si="5"/>
        <v>5898.66</v>
      </c>
      <c r="M35" s="8">
        <f t="shared" si="5"/>
        <v>42116.39</v>
      </c>
      <c r="N35" s="8">
        <f t="shared" si="4"/>
        <v>756155</v>
      </c>
    </row>
    <row r="36" spans="1:14" x14ac:dyDescent="0.3">
      <c r="A36" s="5" t="s">
        <v>404</v>
      </c>
      <c r="B36" s="8">
        <f t="shared" ref="B36:M36" si="6">(B26)+(B35)</f>
        <v>117593.45999999996</v>
      </c>
      <c r="C36" s="8">
        <f t="shared" si="6"/>
        <v>-74840.900000000009</v>
      </c>
      <c r="D36" s="8">
        <f t="shared" si="6"/>
        <v>20136.810000000001</v>
      </c>
      <c r="E36" s="8">
        <f t="shared" si="6"/>
        <v>5017.510000000002</v>
      </c>
      <c r="F36" s="8">
        <f t="shared" si="6"/>
        <v>4153.8599999999997</v>
      </c>
      <c r="G36" s="8">
        <f t="shared" si="6"/>
        <v>202537.31</v>
      </c>
      <c r="H36" s="8">
        <f t="shared" si="6"/>
        <v>129711.45</v>
      </c>
      <c r="I36" s="8">
        <f t="shared" si="6"/>
        <v>80466.179999999993</v>
      </c>
      <c r="J36" s="8">
        <f t="shared" si="6"/>
        <v>94418.92</v>
      </c>
      <c r="K36" s="8">
        <f t="shared" si="6"/>
        <v>31998.300000000003</v>
      </c>
      <c r="L36" s="8">
        <f t="shared" si="6"/>
        <v>-7366.5299999999988</v>
      </c>
      <c r="M36" s="8">
        <f t="shared" si="6"/>
        <v>15953.730000000003</v>
      </c>
      <c r="N36" s="8">
        <f t="shared" si="4"/>
        <v>619780.1</v>
      </c>
    </row>
    <row r="37" spans="1:14" x14ac:dyDescent="0.3">
      <c r="A37" s="5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</row>
    <row r="40" spans="1:14" x14ac:dyDescent="0.3">
      <c r="A40" s="12" t="s">
        <v>448</v>
      </c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</row>
  </sheetData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theme="3" tint="0.79998168889431442"/>
  </sheetPr>
  <dimension ref="A1:N42"/>
  <sheetViews>
    <sheetView workbookViewId="0"/>
  </sheetViews>
  <sheetFormatPr defaultColWidth="9" defaultRowHeight="14.4" x14ac:dyDescent="0.3"/>
  <cols>
    <col min="1" max="1" width="69.5546875" style="2" customWidth="1"/>
    <col min="2" max="2" width="9.44140625" style="2" customWidth="1"/>
    <col min="3" max="3" width="8.5546875" style="2" customWidth="1"/>
    <col min="4" max="4" width="9.44140625" style="2" customWidth="1"/>
    <col min="5" max="8" width="11.109375" style="2" customWidth="1"/>
    <col min="9" max="9" width="10.33203125" style="2" customWidth="1"/>
    <col min="10" max="10" width="11.109375" style="2" customWidth="1"/>
    <col min="11" max="12" width="10.33203125" style="2" customWidth="1"/>
    <col min="13" max="13" width="11.109375" style="2" customWidth="1"/>
    <col min="14" max="14" width="12" style="2" customWidth="1"/>
    <col min="15" max="16384" width="9" style="2"/>
  </cols>
  <sheetData>
    <row r="1" spans="1:14" ht="17.399999999999999" x14ac:dyDescent="0.3">
      <c r="A1" s="9" t="s">
        <v>1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</row>
    <row r="2" spans="1:14" ht="17.399999999999999" x14ac:dyDescent="0.3">
      <c r="A2" s="9" t="s">
        <v>382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3">
      <c r="A3" s="11" t="s">
        <v>137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</row>
    <row r="5" spans="1:14" x14ac:dyDescent="0.3">
      <c r="A5" s="3"/>
      <c r="B5" s="4" t="s">
        <v>138</v>
      </c>
      <c r="C5" s="4" t="s">
        <v>139</v>
      </c>
      <c r="D5" s="4" t="s">
        <v>140</v>
      </c>
      <c r="E5" s="4" t="s">
        <v>141</v>
      </c>
      <c r="F5" s="4" t="s">
        <v>142</v>
      </c>
      <c r="G5" s="4" t="s">
        <v>143</v>
      </c>
      <c r="H5" s="4" t="s">
        <v>144</v>
      </c>
      <c r="I5" s="4" t="s">
        <v>145</v>
      </c>
      <c r="J5" s="4" t="s">
        <v>146</v>
      </c>
      <c r="K5" s="4" t="s">
        <v>147</v>
      </c>
      <c r="L5" s="4" t="s">
        <v>148</v>
      </c>
      <c r="M5" s="4" t="s">
        <v>149</v>
      </c>
      <c r="N5" s="4" t="s">
        <v>16</v>
      </c>
    </row>
    <row r="6" spans="1:14" x14ac:dyDescent="0.3">
      <c r="A6" s="5" t="s">
        <v>383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</row>
    <row r="7" spans="1:14" x14ac:dyDescent="0.3">
      <c r="A7" s="5" t="s">
        <v>384</v>
      </c>
      <c r="B7" s="7">
        <f>-22021.05</f>
        <v>-22021.05</v>
      </c>
      <c r="C7" s="7">
        <f>8211.05</f>
        <v>8211.0499999999993</v>
      </c>
      <c r="D7" s="7">
        <f>19393.74</f>
        <v>19393.740000000002</v>
      </c>
      <c r="E7" s="7">
        <f>8275.83</f>
        <v>8275.83</v>
      </c>
      <c r="F7" s="7">
        <f>-11705.96</f>
        <v>-11705.96</v>
      </c>
      <c r="G7" s="7">
        <f>13202.2</f>
        <v>13202.2</v>
      </c>
      <c r="H7" s="7">
        <f>-522.36</f>
        <v>-522.36</v>
      </c>
      <c r="I7" s="7">
        <f>-2172.42</f>
        <v>-2172.42</v>
      </c>
      <c r="J7" s="7">
        <f>-22189.88</f>
        <v>-22189.88</v>
      </c>
      <c r="K7" s="7">
        <f>-29280.01</f>
        <v>-29280.01</v>
      </c>
      <c r="L7" s="7">
        <f>3025.54</f>
        <v>3025.54</v>
      </c>
      <c r="M7" s="7">
        <f>7357.54</f>
        <v>7357.54</v>
      </c>
      <c r="N7" s="7">
        <f t="shared" ref="N7:N27" si="0">(((((((((((B7)+(C7))+(D7))+(E7))+(F7))+(G7))+(H7))+(I7))+(J7))+(K7))+(L7))+(M7)</f>
        <v>-28425.78</v>
      </c>
    </row>
    <row r="8" spans="1:14" x14ac:dyDescent="0.3">
      <c r="A8" s="5" t="s">
        <v>385</v>
      </c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7">
        <f t="shared" si="0"/>
        <v>0</v>
      </c>
    </row>
    <row r="9" spans="1:14" x14ac:dyDescent="0.3">
      <c r="A9" s="5" t="s">
        <v>387</v>
      </c>
      <c r="B9" s="7">
        <f>-12357.61</f>
        <v>-12357.61</v>
      </c>
      <c r="C9" s="7">
        <f>-2380.34</f>
        <v>-2380.34</v>
      </c>
      <c r="D9" s="7">
        <f>181.41</f>
        <v>181.41</v>
      </c>
      <c r="E9" s="7">
        <f>-20139.22</f>
        <v>-20139.22</v>
      </c>
      <c r="F9" s="7">
        <f>-14479.05</f>
        <v>-14479.05</v>
      </c>
      <c r="G9" s="7">
        <f>-370.36</f>
        <v>-370.36</v>
      </c>
      <c r="H9" s="7">
        <f>-7965.15</f>
        <v>-7965.15</v>
      </c>
      <c r="I9" s="7">
        <f>-1544.05</f>
        <v>-1544.05</v>
      </c>
      <c r="J9" s="7">
        <f>1731.74</f>
        <v>1731.74</v>
      </c>
      <c r="K9" s="7">
        <f>10224.79</f>
        <v>10224.790000000001</v>
      </c>
      <c r="L9" s="7">
        <f>5098.68</f>
        <v>5098.68</v>
      </c>
      <c r="M9" s="7">
        <f>-26715.08</f>
        <v>-26715.08</v>
      </c>
      <c r="N9" s="7">
        <f t="shared" si="0"/>
        <v>-68714.240000000005</v>
      </c>
    </row>
    <row r="10" spans="1:14" x14ac:dyDescent="0.3">
      <c r="A10" s="5" t="s">
        <v>406</v>
      </c>
      <c r="B10" s="7">
        <f>1985.4</f>
        <v>1985.4</v>
      </c>
      <c r="C10" s="7">
        <f>1985.4</f>
        <v>1985.4</v>
      </c>
      <c r="D10" s="7">
        <f>1985.4</f>
        <v>1985.4</v>
      </c>
      <c r="E10" s="7">
        <f>-7941.6</f>
        <v>-7941.6</v>
      </c>
      <c r="F10" s="6"/>
      <c r="G10" s="6"/>
      <c r="H10" s="7">
        <f>1985</f>
        <v>1985</v>
      </c>
      <c r="I10" s="7">
        <f>0</f>
        <v>0</v>
      </c>
      <c r="J10" s="6"/>
      <c r="K10" s="6"/>
      <c r="L10" s="7">
        <f>1985</f>
        <v>1985</v>
      </c>
      <c r="M10" s="7">
        <f>0</f>
        <v>0</v>
      </c>
      <c r="N10" s="7">
        <f t="shared" si="0"/>
        <v>1984.6000000000004</v>
      </c>
    </row>
    <row r="11" spans="1:14" x14ac:dyDescent="0.3">
      <c r="A11" s="5" t="s">
        <v>407</v>
      </c>
      <c r="B11" s="6"/>
      <c r="C11" s="7">
        <f>-100</f>
        <v>-100</v>
      </c>
      <c r="D11" s="6"/>
      <c r="E11" s="7">
        <f>-500</f>
        <v>-500</v>
      </c>
      <c r="F11" s="7">
        <f>-457</f>
        <v>-457</v>
      </c>
      <c r="G11" s="7">
        <f>-7585.29</f>
        <v>-7585.29</v>
      </c>
      <c r="H11" s="6"/>
      <c r="I11" s="6"/>
      <c r="J11" s="6"/>
      <c r="K11" s="6"/>
      <c r="L11" s="6"/>
      <c r="M11" s="6"/>
      <c r="N11" s="7">
        <f t="shared" si="0"/>
        <v>-8642.2900000000009</v>
      </c>
    </row>
    <row r="12" spans="1:14" x14ac:dyDescent="0.3">
      <c r="A12" s="5" t="s">
        <v>408</v>
      </c>
      <c r="B12" s="7">
        <f>-6620.38</f>
        <v>-6620.38</v>
      </c>
      <c r="C12" s="7">
        <f>-970.83</f>
        <v>-970.83</v>
      </c>
      <c r="D12" s="7">
        <f>-839.5</f>
        <v>-839.5</v>
      </c>
      <c r="E12" s="7">
        <f>-1254.77</f>
        <v>-1254.77</v>
      </c>
      <c r="F12" s="7">
        <f>-760.99</f>
        <v>-760.99</v>
      </c>
      <c r="G12" s="7">
        <f>-763.6</f>
        <v>-763.6</v>
      </c>
      <c r="H12" s="7">
        <f>-730.03</f>
        <v>-730.03</v>
      </c>
      <c r="I12" s="7">
        <f>-173.41</f>
        <v>-173.41</v>
      </c>
      <c r="J12" s="7">
        <f>-306.02</f>
        <v>-306.02</v>
      </c>
      <c r="K12" s="7">
        <f>-286.48</f>
        <v>-286.48</v>
      </c>
      <c r="L12" s="7">
        <f>-287.99</f>
        <v>-287.99</v>
      </c>
      <c r="M12" s="7">
        <f>-323.04</f>
        <v>-323.04000000000002</v>
      </c>
      <c r="N12" s="7">
        <f t="shared" si="0"/>
        <v>-13317.04</v>
      </c>
    </row>
    <row r="13" spans="1:14" x14ac:dyDescent="0.3">
      <c r="A13" s="5" t="s">
        <v>409</v>
      </c>
      <c r="B13" s="7">
        <f>-8.37</f>
        <v>-8.3699999999999992</v>
      </c>
      <c r="C13" s="7">
        <f>-117.49</f>
        <v>-117.49</v>
      </c>
      <c r="D13" s="7">
        <f>-9.18</f>
        <v>-9.18</v>
      </c>
      <c r="E13" s="7">
        <f>-18.01</f>
        <v>-18.010000000000002</v>
      </c>
      <c r="F13" s="7">
        <f>-19.62</f>
        <v>-19.62</v>
      </c>
      <c r="G13" s="7">
        <f>177.78</f>
        <v>177.78</v>
      </c>
      <c r="H13" s="7">
        <f>-27.85</f>
        <v>-27.85</v>
      </c>
      <c r="I13" s="7">
        <f>-27.42</f>
        <v>-27.42</v>
      </c>
      <c r="J13" s="7">
        <f>-27.73</f>
        <v>-27.73</v>
      </c>
      <c r="K13" s="7">
        <f>-28.79</f>
        <v>-28.79</v>
      </c>
      <c r="L13" s="7">
        <f>-28.39</f>
        <v>-28.39</v>
      </c>
      <c r="M13" s="7">
        <f>-29.03</f>
        <v>-29.03</v>
      </c>
      <c r="N13" s="7">
        <f t="shared" si="0"/>
        <v>-164.1</v>
      </c>
    </row>
    <row r="14" spans="1:14" x14ac:dyDescent="0.3">
      <c r="A14" s="5" t="s">
        <v>395</v>
      </c>
      <c r="B14" s="6"/>
      <c r="C14" s="6"/>
      <c r="D14" s="7">
        <f>62.82</f>
        <v>62.82</v>
      </c>
      <c r="E14" s="7">
        <f>12181.82</f>
        <v>12181.82</v>
      </c>
      <c r="F14" s="7">
        <f>-587.5</f>
        <v>-587.5</v>
      </c>
      <c r="G14" s="7">
        <f>476.74</f>
        <v>476.74</v>
      </c>
      <c r="H14" s="7">
        <f>-4915.89</f>
        <v>-4915.8900000000003</v>
      </c>
      <c r="I14" s="7">
        <f>639.21</f>
        <v>639.21</v>
      </c>
      <c r="J14" s="7">
        <f>101.05</f>
        <v>101.05</v>
      </c>
      <c r="K14" s="7">
        <f>1189.03</f>
        <v>1189.03</v>
      </c>
      <c r="L14" s="7">
        <f>971.63</f>
        <v>971.63</v>
      </c>
      <c r="M14" s="7">
        <f>415.5</f>
        <v>415.5</v>
      </c>
      <c r="N14" s="7">
        <f t="shared" si="0"/>
        <v>10534.409999999998</v>
      </c>
    </row>
    <row r="15" spans="1:14" x14ac:dyDescent="0.3">
      <c r="A15" s="5" t="s">
        <v>410</v>
      </c>
      <c r="B15" s="7">
        <f>601</f>
        <v>601</v>
      </c>
      <c r="C15" s="7">
        <f>-1340.97</f>
        <v>-1340.97</v>
      </c>
      <c r="D15" s="7">
        <f>-3106.15</f>
        <v>-3106.15</v>
      </c>
      <c r="E15" s="7">
        <f>0</f>
        <v>0</v>
      </c>
      <c r="F15" s="6"/>
      <c r="G15" s="6"/>
      <c r="H15" s="6"/>
      <c r="I15" s="6"/>
      <c r="J15" s="6"/>
      <c r="K15" s="6"/>
      <c r="L15" s="6"/>
      <c r="M15" s="6"/>
      <c r="N15" s="7">
        <f t="shared" si="0"/>
        <v>-3846.12</v>
      </c>
    </row>
    <row r="16" spans="1:14" x14ac:dyDescent="0.3">
      <c r="A16" s="5" t="s">
        <v>411</v>
      </c>
      <c r="B16" s="7">
        <f>-2432.32</f>
        <v>-2432.3200000000002</v>
      </c>
      <c r="C16" s="7">
        <f>-2461.66</f>
        <v>-2461.66</v>
      </c>
      <c r="D16" s="7">
        <f>-2491.36</f>
        <v>-2491.36</v>
      </c>
      <c r="E16" s="7">
        <f>-2521.41</f>
        <v>-2521.41</v>
      </c>
      <c r="F16" s="7">
        <f>-2551.83</f>
        <v>-2551.83</v>
      </c>
      <c r="G16" s="7">
        <f>-2582.61</f>
        <v>-2582.61</v>
      </c>
      <c r="H16" s="7">
        <f>-2598.47</f>
        <v>-2598.4699999999998</v>
      </c>
      <c r="I16" s="7">
        <f>-2611.46</f>
        <v>-2611.46</v>
      </c>
      <c r="J16" s="7">
        <f>-2624.5</f>
        <v>-2624.5</v>
      </c>
      <c r="K16" s="6"/>
      <c r="L16" s="6"/>
      <c r="M16" s="6"/>
      <c r="N16" s="7">
        <f t="shared" si="0"/>
        <v>-22875.62</v>
      </c>
    </row>
    <row r="17" spans="1:14" x14ac:dyDescent="0.3">
      <c r="A17" s="5" t="s">
        <v>412</v>
      </c>
      <c r="B17" s="7">
        <f>50000</f>
        <v>50000</v>
      </c>
      <c r="C17" s="6"/>
      <c r="D17" s="7">
        <f>-1832.11</f>
        <v>-1832.11</v>
      </c>
      <c r="E17" s="7">
        <f>-1852.49</f>
        <v>-1852.49</v>
      </c>
      <c r="F17" s="7">
        <f>-1873.1</f>
        <v>-1873.1</v>
      </c>
      <c r="G17" s="7">
        <f>-1893.94</f>
        <v>-1893.94</v>
      </c>
      <c r="H17" s="7">
        <f>-1915</f>
        <v>-1915</v>
      </c>
      <c r="I17" s="7">
        <f>-1936.31</f>
        <v>-1936.31</v>
      </c>
      <c r="J17" s="7">
        <f>-1957.85</f>
        <v>-1957.85</v>
      </c>
      <c r="K17" s="7">
        <f>-1979.63</f>
        <v>-1979.63</v>
      </c>
      <c r="L17" s="7">
        <f>-2001.66</f>
        <v>-2001.66</v>
      </c>
      <c r="M17" s="7">
        <f>-2023.92</f>
        <v>-2023.92</v>
      </c>
      <c r="N17" s="7">
        <f t="shared" si="0"/>
        <v>30733.990000000005</v>
      </c>
    </row>
    <row r="18" spans="1:14" x14ac:dyDescent="0.3">
      <c r="A18" s="5" t="s">
        <v>413</v>
      </c>
      <c r="B18" s="6"/>
      <c r="C18" s="6"/>
      <c r="D18" s="6"/>
      <c r="E18" s="6"/>
      <c r="F18" s="6"/>
      <c r="G18" s="6"/>
      <c r="H18" s="6"/>
      <c r="I18" s="7">
        <f>461.54</f>
        <v>461.54</v>
      </c>
      <c r="J18" s="7">
        <f>461.54</f>
        <v>461.54</v>
      </c>
      <c r="K18" s="7">
        <f>461.54</f>
        <v>461.54</v>
      </c>
      <c r="L18" s="7">
        <f>307.7</f>
        <v>307.7</v>
      </c>
      <c r="M18" s="6"/>
      <c r="N18" s="7">
        <f t="shared" si="0"/>
        <v>1692.3200000000002</v>
      </c>
    </row>
    <row r="19" spans="1:14" x14ac:dyDescent="0.3">
      <c r="A19" s="5" t="s">
        <v>414</v>
      </c>
      <c r="B19" s="7">
        <f>31.45</f>
        <v>31.45</v>
      </c>
      <c r="C19" s="7">
        <f>40.38</f>
        <v>40.380000000000003</v>
      </c>
      <c r="D19" s="7">
        <f>-312.11</f>
        <v>-312.11</v>
      </c>
      <c r="E19" s="7">
        <f>-3759.72</f>
        <v>-3759.72</v>
      </c>
      <c r="F19" s="6"/>
      <c r="G19" s="6"/>
      <c r="H19" s="6"/>
      <c r="I19" s="6"/>
      <c r="J19" s="6"/>
      <c r="K19" s="6"/>
      <c r="L19" s="6"/>
      <c r="M19" s="6"/>
      <c r="N19" s="7">
        <f t="shared" si="0"/>
        <v>-4000</v>
      </c>
    </row>
    <row r="20" spans="1:14" x14ac:dyDescent="0.3">
      <c r="A20" s="5" t="s">
        <v>415</v>
      </c>
      <c r="B20" s="7">
        <f>80.27</f>
        <v>80.27</v>
      </c>
      <c r="C20" s="7">
        <f>-1914.86</f>
        <v>-1914.86</v>
      </c>
      <c r="D20" s="7">
        <f>-1930.82</f>
        <v>-1930.82</v>
      </c>
      <c r="E20" s="7">
        <f>-1946.91</f>
        <v>-1946.91</v>
      </c>
      <c r="F20" s="7">
        <f>-1963.13</f>
        <v>-1963.13</v>
      </c>
      <c r="G20" s="7">
        <f>-1956.38</f>
        <v>-1956.38</v>
      </c>
      <c r="H20" s="6"/>
      <c r="I20" s="6"/>
      <c r="J20" s="6"/>
      <c r="K20" s="6"/>
      <c r="L20" s="6"/>
      <c r="M20" s="6"/>
      <c r="N20" s="7">
        <f t="shared" si="0"/>
        <v>-9631.83</v>
      </c>
    </row>
    <row r="21" spans="1:14" x14ac:dyDescent="0.3">
      <c r="A21" s="5" t="s">
        <v>397</v>
      </c>
      <c r="B21" s="7">
        <f>0</f>
        <v>0</v>
      </c>
      <c r="C21" s="7">
        <f>0</f>
        <v>0</v>
      </c>
      <c r="D21" s="7">
        <f>0</f>
        <v>0</v>
      </c>
      <c r="E21" s="7">
        <f>0</f>
        <v>0</v>
      </c>
      <c r="F21" s="7">
        <f>10075.66</f>
        <v>10075.66</v>
      </c>
      <c r="G21" s="7">
        <f>-10075.66</f>
        <v>-10075.66</v>
      </c>
      <c r="H21" s="7">
        <f>0</f>
        <v>0</v>
      </c>
      <c r="I21" s="7">
        <f>0</f>
        <v>0</v>
      </c>
      <c r="J21" s="7">
        <f>565.88</f>
        <v>565.88</v>
      </c>
      <c r="K21" s="7">
        <f>11430.02</f>
        <v>11430.02</v>
      </c>
      <c r="L21" s="7">
        <f>-11995.9</f>
        <v>-11995.9</v>
      </c>
      <c r="M21" s="7">
        <f>0</f>
        <v>0</v>
      </c>
      <c r="N21" s="7">
        <f t="shared" si="0"/>
        <v>0</v>
      </c>
    </row>
    <row r="22" spans="1:14" x14ac:dyDescent="0.3">
      <c r="A22" s="5" t="s">
        <v>416</v>
      </c>
      <c r="B22" s="7">
        <f>-200</f>
        <v>-200</v>
      </c>
      <c r="C22" s="7">
        <f>-200</f>
        <v>-200</v>
      </c>
      <c r="D22" s="6"/>
      <c r="E22" s="6"/>
      <c r="F22" s="6"/>
      <c r="G22" s="7">
        <f>-200</f>
        <v>-200</v>
      </c>
      <c r="H22" s="6"/>
      <c r="I22" s="6"/>
      <c r="J22" s="6"/>
      <c r="K22" s="6"/>
      <c r="L22" s="6"/>
      <c r="M22" s="7">
        <f>-221.48</f>
        <v>-221.48</v>
      </c>
      <c r="N22" s="7">
        <f t="shared" si="0"/>
        <v>-821.48</v>
      </c>
    </row>
    <row r="23" spans="1:14" x14ac:dyDescent="0.3">
      <c r="A23" s="5" t="s">
        <v>417</v>
      </c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7">
        <f>-55.38</f>
        <v>-55.38</v>
      </c>
      <c r="N23" s="7">
        <f t="shared" si="0"/>
        <v>-55.38</v>
      </c>
    </row>
    <row r="24" spans="1:14" x14ac:dyDescent="0.3">
      <c r="A24" s="5" t="s">
        <v>418</v>
      </c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7">
        <f>-426.83</f>
        <v>-426.83</v>
      </c>
      <c r="N24" s="7">
        <f t="shared" si="0"/>
        <v>-426.83</v>
      </c>
    </row>
    <row r="25" spans="1:14" x14ac:dyDescent="0.3">
      <c r="A25" s="5" t="s">
        <v>398</v>
      </c>
      <c r="B25" s="7">
        <f>623.73</f>
        <v>623.73</v>
      </c>
      <c r="C25" s="7">
        <f>775.16</f>
        <v>775.16</v>
      </c>
      <c r="D25" s="7">
        <f>743.5</f>
        <v>743.5</v>
      </c>
      <c r="E25" s="7">
        <f>-1392.77</f>
        <v>-1392.77</v>
      </c>
      <c r="F25" s="7">
        <f>1237.35</f>
        <v>1237.3499999999999</v>
      </c>
      <c r="G25" s="7">
        <f>748.69</f>
        <v>748.69</v>
      </c>
      <c r="H25" s="7">
        <f>-1344.37</f>
        <v>-1344.37</v>
      </c>
      <c r="I25" s="7">
        <f>587.91</f>
        <v>587.91</v>
      </c>
      <c r="J25" s="7">
        <f>933.35</f>
        <v>933.35</v>
      </c>
      <c r="K25" s="7">
        <f>919.46</f>
        <v>919.46</v>
      </c>
      <c r="L25" s="7">
        <f>893.72</f>
        <v>893.72</v>
      </c>
      <c r="M25" s="6"/>
      <c r="N25" s="7">
        <f t="shared" si="0"/>
        <v>4725.7299999999996</v>
      </c>
    </row>
    <row r="26" spans="1:14" x14ac:dyDescent="0.3">
      <c r="A26" s="5" t="s">
        <v>399</v>
      </c>
      <c r="B26" s="8">
        <f t="shared" ref="B26:M26" si="1">(((((((((((((((((B8)+(B9))+(B10))+(B11))+(B12))+(B13))+(B14))+(B15))+(B16))+(B17))+(B18))+(B19))+(B20))+(B21))+(B22))+(B23))+(B24))+(B25)</f>
        <v>31703.170000000002</v>
      </c>
      <c r="C26" s="8">
        <f t="shared" si="1"/>
        <v>-6685.2099999999991</v>
      </c>
      <c r="D26" s="8">
        <f t="shared" si="1"/>
        <v>-7548.1</v>
      </c>
      <c r="E26" s="8">
        <f t="shared" si="1"/>
        <v>-29145.08</v>
      </c>
      <c r="F26" s="8">
        <f t="shared" si="1"/>
        <v>-11379.209999999997</v>
      </c>
      <c r="G26" s="8">
        <f t="shared" si="1"/>
        <v>-24024.63</v>
      </c>
      <c r="H26" s="8">
        <f t="shared" si="1"/>
        <v>-17511.759999999998</v>
      </c>
      <c r="I26" s="8">
        <f t="shared" si="1"/>
        <v>-4603.9900000000007</v>
      </c>
      <c r="J26" s="8">
        <f t="shared" si="1"/>
        <v>-1122.54</v>
      </c>
      <c r="K26" s="8">
        <f t="shared" si="1"/>
        <v>21929.940000000002</v>
      </c>
      <c r="L26" s="8">
        <f t="shared" si="1"/>
        <v>-5057.2099999999991</v>
      </c>
      <c r="M26" s="8">
        <f t="shared" si="1"/>
        <v>-29379.260000000002</v>
      </c>
      <c r="N26" s="8">
        <f t="shared" si="0"/>
        <v>-82823.87999999999</v>
      </c>
    </row>
    <row r="27" spans="1:14" x14ac:dyDescent="0.3">
      <c r="A27" s="5" t="s">
        <v>400</v>
      </c>
      <c r="B27" s="8">
        <f t="shared" ref="B27:M27" si="2">(B7)+(B26)</f>
        <v>9682.1200000000026</v>
      </c>
      <c r="C27" s="8">
        <f t="shared" si="2"/>
        <v>1525.8400000000001</v>
      </c>
      <c r="D27" s="8">
        <f t="shared" si="2"/>
        <v>11845.640000000001</v>
      </c>
      <c r="E27" s="8">
        <f t="shared" si="2"/>
        <v>-20869.25</v>
      </c>
      <c r="F27" s="8">
        <f t="shared" si="2"/>
        <v>-23085.17</v>
      </c>
      <c r="G27" s="8">
        <f t="shared" si="2"/>
        <v>-10822.43</v>
      </c>
      <c r="H27" s="8">
        <f t="shared" si="2"/>
        <v>-18034.12</v>
      </c>
      <c r="I27" s="8">
        <f t="shared" si="2"/>
        <v>-6776.4100000000008</v>
      </c>
      <c r="J27" s="8">
        <f t="shared" si="2"/>
        <v>-23312.420000000002</v>
      </c>
      <c r="K27" s="8">
        <f t="shared" si="2"/>
        <v>-7350.0699999999961</v>
      </c>
      <c r="L27" s="8">
        <f t="shared" si="2"/>
        <v>-2031.6699999999992</v>
      </c>
      <c r="M27" s="8">
        <f t="shared" si="2"/>
        <v>-22021.72</v>
      </c>
      <c r="N27" s="8">
        <f t="shared" si="0"/>
        <v>-111249.65999999999</v>
      </c>
    </row>
    <row r="28" spans="1:14" x14ac:dyDescent="0.3">
      <c r="A28" s="5" t="s">
        <v>401</v>
      </c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</row>
    <row r="29" spans="1:14" x14ac:dyDescent="0.3">
      <c r="A29" s="5" t="s">
        <v>419</v>
      </c>
      <c r="B29" s="6"/>
      <c r="C29" s="6"/>
      <c r="D29" s="6"/>
      <c r="E29" s="6"/>
      <c r="F29" s="7">
        <f>-53000</f>
        <v>-53000</v>
      </c>
      <c r="G29" s="6"/>
      <c r="H29" s="6"/>
      <c r="I29" s="6"/>
      <c r="J29" s="6"/>
      <c r="K29" s="6"/>
      <c r="L29" s="6"/>
      <c r="M29" s="6"/>
      <c r="N29" s="7">
        <f t="shared" ref="N29:N38" si="3">(((((((((((B29)+(C29))+(D29))+(E29))+(F29))+(G29))+(H29))+(I29))+(J29))+(K29))+(L29))+(M29)</f>
        <v>-53000</v>
      </c>
    </row>
    <row r="30" spans="1:14" x14ac:dyDescent="0.3">
      <c r="A30" s="5" t="s">
        <v>420</v>
      </c>
      <c r="B30" s="7">
        <f>3315.07</f>
        <v>3315.07</v>
      </c>
      <c r="C30" s="6"/>
      <c r="D30" s="6"/>
      <c r="E30" s="6"/>
      <c r="F30" s="7">
        <f>-3315.07</f>
        <v>-3315.07</v>
      </c>
      <c r="G30" s="6"/>
      <c r="H30" s="6"/>
      <c r="I30" s="6"/>
      <c r="J30" s="6"/>
      <c r="K30" s="6"/>
      <c r="L30" s="6"/>
      <c r="M30" s="6"/>
      <c r="N30" s="7">
        <f t="shared" si="3"/>
        <v>0</v>
      </c>
    </row>
    <row r="31" spans="1:14" x14ac:dyDescent="0.3">
      <c r="A31" s="5" t="s">
        <v>421</v>
      </c>
      <c r="B31" s="6"/>
      <c r="C31" s="6"/>
      <c r="D31" s="6"/>
      <c r="E31" s="6"/>
      <c r="F31" s="6"/>
      <c r="G31" s="6"/>
      <c r="H31" s="7">
        <f>-70000</f>
        <v>-70000</v>
      </c>
      <c r="I31" s="6"/>
      <c r="J31" s="6"/>
      <c r="K31" s="6"/>
      <c r="L31" s="6"/>
      <c r="M31" s="6"/>
      <c r="N31" s="7">
        <f t="shared" si="3"/>
        <v>-70000</v>
      </c>
    </row>
    <row r="32" spans="1:14" x14ac:dyDescent="0.3">
      <c r="A32" s="5" t="s">
        <v>422</v>
      </c>
      <c r="B32" s="7">
        <f>3649.32</f>
        <v>3649.32</v>
      </c>
      <c r="C32" s="6"/>
      <c r="D32" s="6"/>
      <c r="E32" s="6"/>
      <c r="F32" s="6"/>
      <c r="G32" s="6"/>
      <c r="H32" s="7">
        <f>-3649.32</f>
        <v>-3649.32</v>
      </c>
      <c r="I32" s="6"/>
      <c r="J32" s="6"/>
      <c r="K32" s="6"/>
      <c r="L32" s="6"/>
      <c r="M32" s="6"/>
      <c r="N32" s="7">
        <f t="shared" si="3"/>
        <v>0</v>
      </c>
    </row>
    <row r="33" spans="1:14" x14ac:dyDescent="0.3">
      <c r="A33" s="5" t="s">
        <v>423</v>
      </c>
      <c r="B33" s="6"/>
      <c r="C33" s="6"/>
      <c r="D33" s="7">
        <f>5000</f>
        <v>5000</v>
      </c>
      <c r="E33" s="7">
        <f>107500</f>
        <v>107500</v>
      </c>
      <c r="F33" s="7">
        <f>2500</f>
        <v>2500</v>
      </c>
      <c r="G33" s="7">
        <f>13000</f>
        <v>13000</v>
      </c>
      <c r="H33" s="6"/>
      <c r="I33" s="7">
        <f>18000</f>
        <v>18000</v>
      </c>
      <c r="J33" s="6"/>
      <c r="K33" s="6"/>
      <c r="L33" s="6"/>
      <c r="M33" s="7">
        <f>12000</f>
        <v>12000</v>
      </c>
      <c r="N33" s="7">
        <f t="shared" si="3"/>
        <v>158000</v>
      </c>
    </row>
    <row r="34" spans="1:14" x14ac:dyDescent="0.3">
      <c r="A34" s="5" t="s">
        <v>424</v>
      </c>
      <c r="B34" s="6"/>
      <c r="C34" s="6"/>
      <c r="D34" s="6"/>
      <c r="E34" s="6"/>
      <c r="F34" s="6"/>
      <c r="G34" s="6"/>
      <c r="H34" s="6"/>
      <c r="I34" s="6"/>
      <c r="J34" s="7">
        <f>-1.93</f>
        <v>-1.93</v>
      </c>
      <c r="K34" s="6"/>
      <c r="L34" s="6"/>
      <c r="M34" s="6"/>
      <c r="N34" s="7">
        <f t="shared" si="3"/>
        <v>-1.93</v>
      </c>
    </row>
    <row r="35" spans="1:14" x14ac:dyDescent="0.3">
      <c r="A35" s="5" t="s">
        <v>425</v>
      </c>
      <c r="B35" s="6"/>
      <c r="C35" s="6"/>
      <c r="D35" s="6"/>
      <c r="E35" s="6"/>
      <c r="F35" s="7">
        <f>56315.07</f>
        <v>56315.07</v>
      </c>
      <c r="G35" s="6"/>
      <c r="H35" s="6"/>
      <c r="I35" s="6"/>
      <c r="J35" s="6"/>
      <c r="K35" s="6"/>
      <c r="L35" s="6"/>
      <c r="M35" s="6"/>
      <c r="N35" s="7">
        <f t="shared" si="3"/>
        <v>56315.07</v>
      </c>
    </row>
    <row r="36" spans="1:14" x14ac:dyDescent="0.3">
      <c r="A36" s="5" t="s">
        <v>426</v>
      </c>
      <c r="B36" s="6"/>
      <c r="C36" s="6"/>
      <c r="D36" s="6"/>
      <c r="E36" s="6"/>
      <c r="F36" s="6"/>
      <c r="G36" s="6"/>
      <c r="H36" s="7">
        <f>73649.32</f>
        <v>73649.320000000007</v>
      </c>
      <c r="I36" s="6"/>
      <c r="J36" s="6"/>
      <c r="K36" s="6"/>
      <c r="L36" s="6"/>
      <c r="M36" s="6"/>
      <c r="N36" s="7">
        <f t="shared" si="3"/>
        <v>73649.320000000007</v>
      </c>
    </row>
    <row r="37" spans="1:14" x14ac:dyDescent="0.3">
      <c r="A37" s="5" t="s">
        <v>403</v>
      </c>
      <c r="B37" s="8">
        <f t="shared" ref="B37:M37" si="4">(((((((B29)+(B30))+(B31))+(B32))+(B33))+(B34))+(B35))+(B36)</f>
        <v>6964.39</v>
      </c>
      <c r="C37" s="8">
        <f t="shared" si="4"/>
        <v>0</v>
      </c>
      <c r="D37" s="8">
        <f t="shared" si="4"/>
        <v>5000</v>
      </c>
      <c r="E37" s="8">
        <f t="shared" si="4"/>
        <v>107500</v>
      </c>
      <c r="F37" s="8">
        <f t="shared" si="4"/>
        <v>2500</v>
      </c>
      <c r="G37" s="8">
        <f t="shared" si="4"/>
        <v>13000</v>
      </c>
      <c r="H37" s="8">
        <f t="shared" si="4"/>
        <v>0</v>
      </c>
      <c r="I37" s="8">
        <f t="shared" si="4"/>
        <v>18000</v>
      </c>
      <c r="J37" s="8">
        <f t="shared" si="4"/>
        <v>-1.93</v>
      </c>
      <c r="K37" s="8">
        <f t="shared" si="4"/>
        <v>0</v>
      </c>
      <c r="L37" s="8">
        <f t="shared" si="4"/>
        <v>0</v>
      </c>
      <c r="M37" s="8">
        <f t="shared" si="4"/>
        <v>12000</v>
      </c>
      <c r="N37" s="8">
        <f t="shared" si="3"/>
        <v>164962.46000000002</v>
      </c>
    </row>
    <row r="38" spans="1:14" x14ac:dyDescent="0.3">
      <c r="A38" s="5" t="s">
        <v>404</v>
      </c>
      <c r="B38" s="8">
        <f t="shared" ref="B38:M38" si="5">(B27)+(B37)</f>
        <v>16646.510000000002</v>
      </c>
      <c r="C38" s="8">
        <f t="shared" si="5"/>
        <v>1525.8400000000001</v>
      </c>
      <c r="D38" s="8">
        <f t="shared" si="5"/>
        <v>16845.64</v>
      </c>
      <c r="E38" s="8">
        <f t="shared" si="5"/>
        <v>86630.75</v>
      </c>
      <c r="F38" s="8">
        <f t="shared" si="5"/>
        <v>-20585.169999999998</v>
      </c>
      <c r="G38" s="8">
        <f t="shared" si="5"/>
        <v>2177.5699999999997</v>
      </c>
      <c r="H38" s="8">
        <f t="shared" si="5"/>
        <v>-18034.12</v>
      </c>
      <c r="I38" s="8">
        <f t="shared" si="5"/>
        <v>11223.59</v>
      </c>
      <c r="J38" s="8">
        <f t="shared" si="5"/>
        <v>-23314.350000000002</v>
      </c>
      <c r="K38" s="8">
        <f t="shared" si="5"/>
        <v>-7350.0699999999961</v>
      </c>
      <c r="L38" s="8">
        <f t="shared" si="5"/>
        <v>-2031.6699999999992</v>
      </c>
      <c r="M38" s="8">
        <f t="shared" si="5"/>
        <v>-10021.720000000001</v>
      </c>
      <c r="N38" s="8">
        <f t="shared" si="3"/>
        <v>53712.800000000017</v>
      </c>
    </row>
    <row r="39" spans="1:14" x14ac:dyDescent="0.3">
      <c r="A39" s="5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</row>
    <row r="42" spans="1:14" x14ac:dyDescent="0.3">
      <c r="A42" s="12" t="s">
        <v>427</v>
      </c>
      <c r="B42" s="10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</row>
  </sheetData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3" tint="0.79998168889431442"/>
  </sheetPr>
  <dimension ref="A1:N33"/>
  <sheetViews>
    <sheetView workbookViewId="0"/>
  </sheetViews>
  <sheetFormatPr defaultColWidth="9" defaultRowHeight="14.4" x14ac:dyDescent="0.3"/>
  <cols>
    <col min="1" max="1" width="69.5546875" style="2" customWidth="1"/>
    <col min="2" max="3" width="10.33203125" style="2" customWidth="1"/>
    <col min="4" max="5" width="11.109375" style="2" customWidth="1"/>
    <col min="6" max="6" width="9.44140625" style="2" customWidth="1"/>
    <col min="7" max="8" width="11.109375" style="2" customWidth="1"/>
    <col min="9" max="9" width="9.44140625" style="2" customWidth="1"/>
    <col min="10" max="11" width="10.33203125" style="2" customWidth="1"/>
    <col min="12" max="12" width="8.5546875" style="2" customWidth="1"/>
    <col min="13" max="13" width="10.33203125" style="2" customWidth="1"/>
    <col min="14" max="14" width="11.109375" style="2" customWidth="1"/>
    <col min="15" max="16384" width="9" style="2"/>
  </cols>
  <sheetData>
    <row r="1" spans="1:14" ht="17.399999999999999" x14ac:dyDescent="0.3">
      <c r="A1" s="9" t="s">
        <v>1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</row>
    <row r="2" spans="1:14" ht="17.399999999999999" x14ac:dyDescent="0.3">
      <c r="A2" s="9" t="s">
        <v>382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3">
      <c r="A3" s="11" t="s">
        <v>165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</row>
    <row r="5" spans="1:14" x14ac:dyDescent="0.3">
      <c r="A5" s="3"/>
      <c r="B5" s="4" t="s">
        <v>166</v>
      </c>
      <c r="C5" s="4" t="s">
        <v>167</v>
      </c>
      <c r="D5" s="4" t="s">
        <v>168</v>
      </c>
      <c r="E5" s="4" t="s">
        <v>169</v>
      </c>
      <c r="F5" s="4" t="s">
        <v>170</v>
      </c>
      <c r="G5" s="4" t="s">
        <v>171</v>
      </c>
      <c r="H5" s="4" t="s">
        <v>172</v>
      </c>
      <c r="I5" s="4" t="s">
        <v>173</v>
      </c>
      <c r="J5" s="4" t="s">
        <v>174</v>
      </c>
      <c r="K5" s="4" t="s">
        <v>175</v>
      </c>
      <c r="L5" s="4" t="s">
        <v>176</v>
      </c>
      <c r="M5" s="4" t="s">
        <v>177</v>
      </c>
      <c r="N5" s="4" t="s">
        <v>16</v>
      </c>
    </row>
    <row r="6" spans="1:14" x14ac:dyDescent="0.3">
      <c r="A6" s="5" t="s">
        <v>383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</row>
    <row r="7" spans="1:14" x14ac:dyDescent="0.3">
      <c r="A7" s="5" t="s">
        <v>384</v>
      </c>
      <c r="B7" s="7">
        <f>255.27</f>
        <v>255.27</v>
      </c>
      <c r="C7" s="7">
        <f>-8683.42</f>
        <v>-8683.42</v>
      </c>
      <c r="D7" s="7">
        <f>-16881.99</f>
        <v>-16881.990000000002</v>
      </c>
      <c r="E7" s="7">
        <f>-12713.96</f>
        <v>-12713.96</v>
      </c>
      <c r="F7" s="7">
        <f>-3126.13</f>
        <v>-3126.13</v>
      </c>
      <c r="G7" s="7">
        <f>-25244.14</f>
        <v>-25244.14</v>
      </c>
      <c r="H7" s="7">
        <f>-10544.4</f>
        <v>-10544.4</v>
      </c>
      <c r="I7" s="7">
        <f>-8361.72</f>
        <v>-8361.7199999999993</v>
      </c>
      <c r="J7" s="7">
        <f>1061.72</f>
        <v>1061.72</v>
      </c>
      <c r="K7" s="7">
        <f>-1450.58</f>
        <v>-1450.58</v>
      </c>
      <c r="L7" s="7">
        <f>-3575.58</f>
        <v>-3575.58</v>
      </c>
      <c r="M7" s="7">
        <f>-3058.74</f>
        <v>-3058.74</v>
      </c>
      <c r="N7" s="7">
        <f t="shared" ref="N7:N20" si="0">(((((((((((B7)+(C7))+(D7))+(E7))+(F7))+(G7))+(H7))+(I7))+(J7))+(K7))+(L7))+(M7)</f>
        <v>-92323.67</v>
      </c>
    </row>
    <row r="8" spans="1:14" x14ac:dyDescent="0.3">
      <c r="A8" s="5" t="s">
        <v>385</v>
      </c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7">
        <f t="shared" si="0"/>
        <v>0</v>
      </c>
    </row>
    <row r="9" spans="1:14" x14ac:dyDescent="0.3">
      <c r="A9" s="5" t="s">
        <v>387</v>
      </c>
      <c r="B9" s="7">
        <f>-733.4</f>
        <v>-733.4</v>
      </c>
      <c r="C9" s="7">
        <f>-2023.8</f>
        <v>-2023.8</v>
      </c>
      <c r="D9" s="7">
        <f>-5829.36</f>
        <v>-5829.36</v>
      </c>
      <c r="E9" s="7">
        <f>2608.93</f>
        <v>2608.9299999999998</v>
      </c>
      <c r="F9" s="7">
        <f>2509.42</f>
        <v>2509.42</v>
      </c>
      <c r="G9" s="7">
        <f>1254.12</f>
        <v>1254.1199999999999</v>
      </c>
      <c r="H9" s="7">
        <f>-3710.21</f>
        <v>-3710.21</v>
      </c>
      <c r="I9" s="7">
        <f>-3620.47</f>
        <v>-3620.47</v>
      </c>
      <c r="J9" s="7">
        <f>-7252.29</f>
        <v>-7252.29</v>
      </c>
      <c r="K9" s="7">
        <f>-3988.36</f>
        <v>-3988.36</v>
      </c>
      <c r="L9" s="7">
        <f>-2535.08</f>
        <v>-2535.08</v>
      </c>
      <c r="M9" s="7">
        <f>-8857.51</f>
        <v>-8857.51</v>
      </c>
      <c r="N9" s="7">
        <f t="shared" si="0"/>
        <v>-32178.010000000002</v>
      </c>
    </row>
    <row r="10" spans="1:14" x14ac:dyDescent="0.3">
      <c r="A10" s="5" t="s">
        <v>406</v>
      </c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7">
        <f>1985.4</f>
        <v>1985.4</v>
      </c>
      <c r="N10" s="7">
        <f t="shared" si="0"/>
        <v>1985.4</v>
      </c>
    </row>
    <row r="11" spans="1:14" x14ac:dyDescent="0.3">
      <c r="A11" s="5" t="s">
        <v>408</v>
      </c>
      <c r="B11" s="6"/>
      <c r="C11" s="7">
        <f>5839.11</f>
        <v>5839.11</v>
      </c>
      <c r="D11" s="7">
        <f>8094.2</f>
        <v>8094.2</v>
      </c>
      <c r="E11" s="7">
        <f>-5853</f>
        <v>-5853</v>
      </c>
      <c r="F11" s="7">
        <f>3978.4</f>
        <v>3978.4</v>
      </c>
      <c r="G11" s="7">
        <f>-1244.64</f>
        <v>-1244.6400000000001</v>
      </c>
      <c r="H11" s="7">
        <f>210.21</f>
        <v>210.21</v>
      </c>
      <c r="I11" s="7">
        <f>-2754.63</f>
        <v>-2754.63</v>
      </c>
      <c r="J11" s="7">
        <f>3782.74</f>
        <v>3782.74</v>
      </c>
      <c r="K11" s="7">
        <f>4875.09</f>
        <v>4875.09</v>
      </c>
      <c r="L11" s="7">
        <f>7396.94</f>
        <v>7396.94</v>
      </c>
      <c r="M11" s="7">
        <f>2266.79</f>
        <v>2266.79</v>
      </c>
      <c r="N11" s="7">
        <f t="shared" si="0"/>
        <v>26591.209999999995</v>
      </c>
    </row>
    <row r="12" spans="1:14" x14ac:dyDescent="0.3">
      <c r="A12" s="5" t="s">
        <v>409</v>
      </c>
      <c r="B12" s="7">
        <f>-2244.08</f>
        <v>-2244.08</v>
      </c>
      <c r="C12" s="7">
        <f>-91.04</f>
        <v>-91.04</v>
      </c>
      <c r="D12" s="7">
        <f>-285.69</f>
        <v>-285.69</v>
      </c>
      <c r="E12" s="7">
        <f>800.68</f>
        <v>800.68</v>
      </c>
      <c r="F12" s="7">
        <f>-372.52</f>
        <v>-372.52</v>
      </c>
      <c r="G12" s="7">
        <f>103.14</f>
        <v>103.14</v>
      </c>
      <c r="H12" s="7">
        <f>-370.57</f>
        <v>-370.57</v>
      </c>
      <c r="I12" s="7">
        <f>478.94</f>
        <v>478.94</v>
      </c>
      <c r="J12" s="7">
        <f>459.11</f>
        <v>459.11</v>
      </c>
      <c r="K12" s="7">
        <f>124.27</f>
        <v>124.27</v>
      </c>
      <c r="L12" s="7">
        <f>-6.82</f>
        <v>-6.82</v>
      </c>
      <c r="M12" s="7">
        <f>-9.02</f>
        <v>-9.02</v>
      </c>
      <c r="N12" s="7">
        <f t="shared" si="0"/>
        <v>-1413.6000000000001</v>
      </c>
    </row>
    <row r="13" spans="1:14" x14ac:dyDescent="0.3">
      <c r="A13" s="5" t="s">
        <v>410</v>
      </c>
      <c r="B13" s="6"/>
      <c r="C13" s="6"/>
      <c r="D13" s="6"/>
      <c r="E13" s="6"/>
      <c r="F13" s="6"/>
      <c r="G13" s="7">
        <f>1446.51</f>
        <v>1446.51</v>
      </c>
      <c r="H13" s="7">
        <f>2037.57</f>
        <v>2037.57</v>
      </c>
      <c r="I13" s="7">
        <f>544.9</f>
        <v>544.9</v>
      </c>
      <c r="J13" s="7">
        <f>338.67</f>
        <v>338.67</v>
      </c>
      <c r="K13" s="7">
        <f>-909.95</f>
        <v>-909.95</v>
      </c>
      <c r="L13" s="7">
        <f>459.13</f>
        <v>459.13</v>
      </c>
      <c r="M13" s="7">
        <f>-70.71</f>
        <v>-70.709999999999994</v>
      </c>
      <c r="N13" s="7">
        <f t="shared" si="0"/>
        <v>3846.12</v>
      </c>
    </row>
    <row r="14" spans="1:14" x14ac:dyDescent="0.3">
      <c r="A14" s="5" t="s">
        <v>411</v>
      </c>
      <c r="B14" s="6"/>
      <c r="C14" s="6"/>
      <c r="D14" s="6"/>
      <c r="E14" s="6"/>
      <c r="F14" s="6"/>
      <c r="G14" s="6"/>
      <c r="H14" s="6"/>
      <c r="I14" s="7">
        <f>30000</f>
        <v>30000</v>
      </c>
      <c r="J14" s="6"/>
      <c r="K14" s="7">
        <f>-2346.37</f>
        <v>-2346.37</v>
      </c>
      <c r="L14" s="7">
        <f>-2374.68</f>
        <v>-2374.6799999999998</v>
      </c>
      <c r="M14" s="7">
        <f>-2403.33</f>
        <v>-2403.33</v>
      </c>
      <c r="N14" s="7">
        <f t="shared" si="0"/>
        <v>22875.620000000003</v>
      </c>
    </row>
    <row r="15" spans="1:14" x14ac:dyDescent="0.3">
      <c r="A15" s="5" t="s">
        <v>414</v>
      </c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7">
        <f>4000</f>
        <v>4000</v>
      </c>
      <c r="N15" s="7">
        <f t="shared" si="0"/>
        <v>4000</v>
      </c>
    </row>
    <row r="16" spans="1:14" x14ac:dyDescent="0.3">
      <c r="A16" s="5" t="s">
        <v>415</v>
      </c>
      <c r="B16" s="7">
        <f>87.59</f>
        <v>87.59</v>
      </c>
      <c r="C16" s="7">
        <f>88.32</f>
        <v>88.32</v>
      </c>
      <c r="D16" s="7">
        <f>89.05</f>
        <v>89.05</v>
      </c>
      <c r="E16" s="7">
        <f>89.8</f>
        <v>89.8</v>
      </c>
      <c r="F16" s="7">
        <f>90.54</f>
        <v>90.54</v>
      </c>
      <c r="G16" s="7">
        <f>91.3</f>
        <v>91.3</v>
      </c>
      <c r="H16" s="7">
        <f>92.06</f>
        <v>92.06</v>
      </c>
      <c r="I16" s="7">
        <f>92.83</f>
        <v>92.83</v>
      </c>
      <c r="J16" s="7">
        <f>93.6</f>
        <v>93.6</v>
      </c>
      <c r="K16" s="7">
        <f>94.38</f>
        <v>94.38</v>
      </c>
      <c r="L16" s="7">
        <f>95.17</f>
        <v>95.17</v>
      </c>
      <c r="M16" s="7">
        <f>-1883.34</f>
        <v>-1883.34</v>
      </c>
      <c r="N16" s="7">
        <f t="shared" si="0"/>
        <v>-878.69999999999982</v>
      </c>
    </row>
    <row r="17" spans="1:14" x14ac:dyDescent="0.3">
      <c r="A17" s="5" t="s">
        <v>416</v>
      </c>
      <c r="B17" s="6"/>
      <c r="C17" s="6"/>
      <c r="D17" s="6"/>
      <c r="E17" s="6"/>
      <c r="F17" s="7">
        <f>-200</f>
        <v>-200</v>
      </c>
      <c r="G17" s="7">
        <f>-200</f>
        <v>-200</v>
      </c>
      <c r="H17" s="7">
        <f>-200</f>
        <v>-200</v>
      </c>
      <c r="I17" s="6"/>
      <c r="J17" s="7">
        <f>-200</f>
        <v>-200</v>
      </c>
      <c r="K17" s="6"/>
      <c r="L17" s="7">
        <f>-400</f>
        <v>-400</v>
      </c>
      <c r="M17" s="6"/>
      <c r="N17" s="7">
        <f t="shared" si="0"/>
        <v>-1200</v>
      </c>
    </row>
    <row r="18" spans="1:14" x14ac:dyDescent="0.3">
      <c r="A18" s="5" t="s">
        <v>398</v>
      </c>
      <c r="B18" s="7">
        <f>-244</f>
        <v>-244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7">
        <f t="shared" si="0"/>
        <v>-244</v>
      </c>
    </row>
    <row r="19" spans="1:14" x14ac:dyDescent="0.3">
      <c r="A19" s="5" t="s">
        <v>399</v>
      </c>
      <c r="B19" s="8">
        <f t="shared" ref="B19:M19" si="1">((((((((((B8)+(B9))+(B10))+(B11))+(B12))+(B13))+(B14))+(B15))+(B16))+(B17))+(B18)</f>
        <v>-3133.89</v>
      </c>
      <c r="C19" s="8">
        <f t="shared" si="1"/>
        <v>3812.5899999999997</v>
      </c>
      <c r="D19" s="8">
        <f t="shared" si="1"/>
        <v>2068.2000000000003</v>
      </c>
      <c r="E19" s="8">
        <f t="shared" si="1"/>
        <v>-2353.59</v>
      </c>
      <c r="F19" s="8">
        <f t="shared" si="1"/>
        <v>6005.8399999999992</v>
      </c>
      <c r="G19" s="8">
        <f t="shared" si="1"/>
        <v>1450.4299999999998</v>
      </c>
      <c r="H19" s="8">
        <f t="shared" si="1"/>
        <v>-1940.9400000000003</v>
      </c>
      <c r="I19" s="8">
        <f t="shared" si="1"/>
        <v>24741.57</v>
      </c>
      <c r="J19" s="8">
        <f t="shared" si="1"/>
        <v>-2778.17</v>
      </c>
      <c r="K19" s="8">
        <f t="shared" si="1"/>
        <v>-2150.9399999999996</v>
      </c>
      <c r="L19" s="8">
        <f t="shared" si="1"/>
        <v>2634.6600000000003</v>
      </c>
      <c r="M19" s="8">
        <f t="shared" si="1"/>
        <v>-4971.7200000000012</v>
      </c>
      <c r="N19" s="8">
        <f t="shared" si="0"/>
        <v>23384.04</v>
      </c>
    </row>
    <row r="20" spans="1:14" x14ac:dyDescent="0.3">
      <c r="A20" s="5" t="s">
        <v>400</v>
      </c>
      <c r="B20" s="8">
        <f t="shared" ref="B20:M20" si="2">(B7)+(B19)</f>
        <v>-2878.62</v>
      </c>
      <c r="C20" s="8">
        <f t="shared" si="2"/>
        <v>-4870.83</v>
      </c>
      <c r="D20" s="8">
        <f t="shared" si="2"/>
        <v>-14813.79</v>
      </c>
      <c r="E20" s="8">
        <f t="shared" si="2"/>
        <v>-15067.55</v>
      </c>
      <c r="F20" s="8">
        <f t="shared" si="2"/>
        <v>2879.7099999999991</v>
      </c>
      <c r="G20" s="8">
        <f t="shared" si="2"/>
        <v>-23793.71</v>
      </c>
      <c r="H20" s="8">
        <f t="shared" si="2"/>
        <v>-12485.34</v>
      </c>
      <c r="I20" s="8">
        <f t="shared" si="2"/>
        <v>16379.85</v>
      </c>
      <c r="J20" s="8">
        <f t="shared" si="2"/>
        <v>-1716.45</v>
      </c>
      <c r="K20" s="8">
        <f t="shared" si="2"/>
        <v>-3601.5199999999995</v>
      </c>
      <c r="L20" s="8">
        <f t="shared" si="2"/>
        <v>-940.91999999999962</v>
      </c>
      <c r="M20" s="8">
        <f t="shared" si="2"/>
        <v>-8030.4600000000009</v>
      </c>
      <c r="N20" s="8">
        <f t="shared" si="0"/>
        <v>-68939.63</v>
      </c>
    </row>
    <row r="21" spans="1:14" x14ac:dyDescent="0.3">
      <c r="A21" s="5" t="s">
        <v>401</v>
      </c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</row>
    <row r="22" spans="1:14" x14ac:dyDescent="0.3">
      <c r="A22" s="5" t="s">
        <v>421</v>
      </c>
      <c r="B22" s="6"/>
      <c r="C22" s="7">
        <f>25000</f>
        <v>25000</v>
      </c>
      <c r="D22" s="7">
        <f>10000</f>
        <v>10000</v>
      </c>
      <c r="E22" s="7">
        <f>15000</f>
        <v>15000</v>
      </c>
      <c r="F22" s="7">
        <f>20000</f>
        <v>20000</v>
      </c>
      <c r="G22" s="6"/>
      <c r="H22" s="6"/>
      <c r="I22" s="6"/>
      <c r="J22" s="6"/>
      <c r="K22" s="6"/>
      <c r="L22" s="6"/>
      <c r="M22" s="6"/>
      <c r="N22" s="7">
        <f t="shared" ref="N22:N29" si="3">(((((((((((B22)+(C22))+(D22))+(E22))+(F22))+(G22))+(H22))+(I22))+(J22))+(K22))+(L22))+(M22)</f>
        <v>70000</v>
      </c>
    </row>
    <row r="23" spans="1:14" x14ac:dyDescent="0.3">
      <c r="A23" s="5" t="s">
        <v>432</v>
      </c>
      <c r="B23" s="6"/>
      <c r="C23" s="6"/>
      <c r="D23" s="6"/>
      <c r="E23" s="6"/>
      <c r="F23" s="6"/>
      <c r="G23" s="7">
        <f>2500</f>
        <v>2500</v>
      </c>
      <c r="H23" s="6"/>
      <c r="I23" s="6"/>
      <c r="J23" s="6"/>
      <c r="K23" s="6"/>
      <c r="L23" s="6"/>
      <c r="M23" s="6"/>
      <c r="N23" s="7">
        <f t="shared" si="3"/>
        <v>2500</v>
      </c>
    </row>
    <row r="24" spans="1:14" x14ac:dyDescent="0.3">
      <c r="A24" s="5" t="s">
        <v>431</v>
      </c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7">
        <f>-30550</f>
        <v>-30550</v>
      </c>
      <c r="N24" s="7">
        <f t="shared" si="3"/>
        <v>-30550</v>
      </c>
    </row>
    <row r="25" spans="1:14" x14ac:dyDescent="0.3">
      <c r="A25" s="5" t="s">
        <v>424</v>
      </c>
      <c r="B25" s="6"/>
      <c r="C25" s="7">
        <f>300.04</f>
        <v>300.04000000000002</v>
      </c>
      <c r="D25" s="7">
        <f>325</f>
        <v>325</v>
      </c>
      <c r="E25" s="6"/>
      <c r="F25" s="6"/>
      <c r="G25" s="6"/>
      <c r="H25" s="6"/>
      <c r="I25" s="6"/>
      <c r="J25" s="6"/>
      <c r="K25" s="6"/>
      <c r="L25" s="6"/>
      <c r="M25" s="7">
        <f>20923.08</f>
        <v>20923.080000000002</v>
      </c>
      <c r="N25" s="7">
        <f t="shared" si="3"/>
        <v>21548.120000000003</v>
      </c>
    </row>
    <row r="26" spans="1:14" x14ac:dyDescent="0.3">
      <c r="A26" s="5" t="s">
        <v>430</v>
      </c>
      <c r="B26" s="6"/>
      <c r="C26" s="6"/>
      <c r="D26" s="6"/>
      <c r="E26" s="7">
        <f>801</f>
        <v>801</v>
      </c>
      <c r="F26" s="7">
        <f>-800</f>
        <v>-800</v>
      </c>
      <c r="G26" s="6"/>
      <c r="H26" s="6"/>
      <c r="I26" s="6"/>
      <c r="J26" s="6"/>
      <c r="K26" s="6"/>
      <c r="L26" s="6"/>
      <c r="M26" s="7">
        <f>-1</f>
        <v>-1</v>
      </c>
      <c r="N26" s="7">
        <f t="shared" si="3"/>
        <v>0</v>
      </c>
    </row>
    <row r="27" spans="1:14" x14ac:dyDescent="0.3">
      <c r="A27" s="5" t="s">
        <v>429</v>
      </c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7">
        <f>9627.92</f>
        <v>9627.92</v>
      </c>
      <c r="N27" s="7">
        <f t="shared" si="3"/>
        <v>9627.92</v>
      </c>
    </row>
    <row r="28" spans="1:14" x14ac:dyDescent="0.3">
      <c r="A28" s="5" t="s">
        <v>403</v>
      </c>
      <c r="B28" s="8">
        <f t="shared" ref="B28:M28" si="4">(((((B22)+(B23))+(B24))+(B25))+(B26))+(B27)</f>
        <v>0</v>
      </c>
      <c r="C28" s="8">
        <f t="shared" si="4"/>
        <v>25300.04</v>
      </c>
      <c r="D28" s="8">
        <f t="shared" si="4"/>
        <v>10325</v>
      </c>
      <c r="E28" s="8">
        <f t="shared" si="4"/>
        <v>15801</v>
      </c>
      <c r="F28" s="8">
        <f t="shared" si="4"/>
        <v>19200</v>
      </c>
      <c r="G28" s="8">
        <f t="shared" si="4"/>
        <v>2500</v>
      </c>
      <c r="H28" s="8">
        <f t="shared" si="4"/>
        <v>0</v>
      </c>
      <c r="I28" s="8">
        <f t="shared" si="4"/>
        <v>0</v>
      </c>
      <c r="J28" s="8">
        <f t="shared" si="4"/>
        <v>0</v>
      </c>
      <c r="K28" s="8">
        <f t="shared" si="4"/>
        <v>0</v>
      </c>
      <c r="L28" s="8">
        <f t="shared" si="4"/>
        <v>0</v>
      </c>
      <c r="M28" s="8">
        <f t="shared" si="4"/>
        <v>0</v>
      </c>
      <c r="N28" s="8">
        <f t="shared" si="3"/>
        <v>73126.040000000008</v>
      </c>
    </row>
    <row r="29" spans="1:14" x14ac:dyDescent="0.3">
      <c r="A29" s="5" t="s">
        <v>404</v>
      </c>
      <c r="B29" s="8">
        <f t="shared" ref="B29:M29" si="5">(B20)+(B28)</f>
        <v>-2878.62</v>
      </c>
      <c r="C29" s="8">
        <f t="shared" si="5"/>
        <v>20429.21</v>
      </c>
      <c r="D29" s="8">
        <f t="shared" si="5"/>
        <v>-4488.7900000000009</v>
      </c>
      <c r="E29" s="8">
        <f t="shared" si="5"/>
        <v>733.45000000000073</v>
      </c>
      <c r="F29" s="8">
        <f t="shared" si="5"/>
        <v>22079.71</v>
      </c>
      <c r="G29" s="8">
        <f t="shared" si="5"/>
        <v>-21293.71</v>
      </c>
      <c r="H29" s="8">
        <f t="shared" si="5"/>
        <v>-12485.34</v>
      </c>
      <c r="I29" s="8">
        <f t="shared" si="5"/>
        <v>16379.85</v>
      </c>
      <c r="J29" s="8">
        <f t="shared" si="5"/>
        <v>-1716.45</v>
      </c>
      <c r="K29" s="8">
        <f t="shared" si="5"/>
        <v>-3601.5199999999995</v>
      </c>
      <c r="L29" s="8">
        <f t="shared" si="5"/>
        <v>-940.91999999999962</v>
      </c>
      <c r="M29" s="8">
        <f t="shared" si="5"/>
        <v>-8030.4600000000009</v>
      </c>
      <c r="N29" s="8">
        <f t="shared" si="3"/>
        <v>4186.41</v>
      </c>
    </row>
    <row r="30" spans="1:14" x14ac:dyDescent="0.3">
      <c r="A30" s="5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</row>
    <row r="33" spans="1:14" x14ac:dyDescent="0.3">
      <c r="A33" s="12" t="s">
        <v>428</v>
      </c>
      <c r="B33" s="10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5" tint="0.79998168889431442"/>
  </sheetPr>
  <dimension ref="A1:CH37"/>
  <sheetViews>
    <sheetView zoomScaleNormal="100" workbookViewId="0">
      <pane xSplit="1" ySplit="5" topLeftCell="BL6" activePane="bottomRight" state="frozen"/>
      <selection pane="topRight" activeCell="D1" sqref="D1"/>
      <selection pane="bottomLeft" activeCell="A6" sqref="A6"/>
      <selection pane="bottomRight" activeCell="BP1" sqref="BP1"/>
    </sheetView>
  </sheetViews>
  <sheetFormatPr defaultColWidth="9" defaultRowHeight="14.4" outlineLevelCol="1" x14ac:dyDescent="0.3"/>
  <cols>
    <col min="1" max="1" width="35" style="132" customWidth="1"/>
    <col min="2" max="3" width="8.6640625" style="132" customWidth="1" outlineLevel="1"/>
    <col min="4" max="5" width="9" style="132" customWidth="1" outlineLevel="1"/>
    <col min="6" max="6" width="8.6640625" style="132" customWidth="1" outlineLevel="1"/>
    <col min="7" max="8" width="9" style="132" customWidth="1" outlineLevel="1"/>
    <col min="9" max="13" width="8.6640625" style="132" customWidth="1" outlineLevel="1"/>
    <col min="14" max="14" width="9" style="132" customWidth="1" outlineLevel="1" collapsed="1"/>
    <col min="15" max="25" width="9.44140625" style="132" customWidth="1" outlineLevel="1"/>
    <col min="26" max="26" width="9.44140625" style="132" customWidth="1" outlineLevel="1" collapsed="1"/>
    <col min="27" max="37" width="9.44140625" style="132" customWidth="1" outlineLevel="1"/>
    <col min="38" max="38" width="9.44140625" style="132" customWidth="1" outlineLevel="1" collapsed="1"/>
    <col min="39" max="40" width="9.88671875" style="132" customWidth="1" outlineLevel="1"/>
    <col min="41" max="49" width="10.6640625" style="132" customWidth="1" outlineLevel="1"/>
    <col min="50" max="50" width="10.6640625" style="132" customWidth="1" outlineLevel="1" collapsed="1"/>
    <col min="51" max="67" width="10.6640625" style="132" customWidth="1" outlineLevel="1"/>
    <col min="68" max="85" width="10.6640625" style="132" bestFit="1" customWidth="1"/>
    <col min="86" max="16384" width="9" style="132"/>
  </cols>
  <sheetData>
    <row r="1" spans="1:86" ht="17.399999999999999" x14ac:dyDescent="0.3">
      <c r="A1" s="85" t="s">
        <v>1</v>
      </c>
      <c r="B1" s="184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  <c r="AB1" s="88"/>
      <c r="AC1" s="88"/>
      <c r="AD1" s="88"/>
      <c r="AE1" s="88"/>
      <c r="AF1" s="88"/>
      <c r="AG1" s="88"/>
      <c r="AH1" s="88"/>
      <c r="AI1" s="88"/>
      <c r="AJ1" s="88"/>
      <c r="AK1" s="88"/>
      <c r="AL1" s="88"/>
      <c r="AM1" s="88"/>
      <c r="AN1" s="88"/>
      <c r="AO1" s="88"/>
      <c r="AP1" s="88"/>
      <c r="AQ1" s="88"/>
      <c r="AR1" s="88"/>
      <c r="AS1" s="88"/>
      <c r="AT1" s="88"/>
      <c r="AU1" s="88"/>
      <c r="AV1" s="88"/>
      <c r="AW1" s="88"/>
      <c r="AX1" s="88"/>
      <c r="AY1" s="88"/>
      <c r="AZ1" s="88"/>
      <c r="BA1" s="88"/>
      <c r="BB1" s="88"/>
      <c r="BC1" s="88"/>
      <c r="BD1" s="88"/>
      <c r="BE1" s="88"/>
      <c r="BF1" s="88"/>
      <c r="BG1" s="88"/>
      <c r="BH1" s="88"/>
      <c r="BI1" s="88"/>
      <c r="BJ1" s="88"/>
      <c r="BK1" s="88"/>
      <c r="BL1" s="88"/>
      <c r="BM1" s="88"/>
      <c r="BN1" s="88"/>
      <c r="BO1" s="376"/>
      <c r="BP1" s="88"/>
      <c r="BQ1" s="88"/>
      <c r="BR1" s="88"/>
      <c r="BS1" s="88"/>
      <c r="BT1" s="88"/>
      <c r="BU1" s="88"/>
      <c r="BV1" s="88"/>
      <c r="BW1" s="88"/>
      <c r="BX1" s="88"/>
      <c r="BY1" s="88"/>
      <c r="BZ1" s="88"/>
      <c r="CA1" s="88"/>
      <c r="CB1" s="88"/>
      <c r="CC1" s="88"/>
      <c r="CD1" s="88"/>
      <c r="CE1" s="88"/>
      <c r="CF1" s="88"/>
      <c r="CG1" s="89"/>
      <c r="CH1" s="133"/>
    </row>
    <row r="2" spans="1:86" ht="17.399999999999999" x14ac:dyDescent="0.3">
      <c r="A2" s="90" t="s">
        <v>2</v>
      </c>
      <c r="B2" s="185"/>
      <c r="C2" s="92"/>
      <c r="D2" s="92"/>
      <c r="E2" s="92"/>
      <c r="F2" s="92"/>
      <c r="G2" s="92"/>
      <c r="H2" s="92"/>
      <c r="I2" s="92"/>
      <c r="J2" s="92"/>
      <c r="K2" s="92"/>
      <c r="L2" s="92"/>
      <c r="M2" s="92"/>
      <c r="N2" s="92"/>
      <c r="O2" s="44"/>
      <c r="P2" s="44"/>
      <c r="Q2" s="44"/>
      <c r="R2" s="44"/>
      <c r="S2" s="44"/>
      <c r="T2" s="44"/>
      <c r="U2" s="44"/>
      <c r="V2" s="44"/>
      <c r="W2" s="44"/>
      <c r="X2" s="44"/>
      <c r="Y2" s="44"/>
      <c r="Z2" s="44"/>
      <c r="AA2" s="44"/>
      <c r="AB2" s="44"/>
      <c r="AC2" s="44"/>
      <c r="AD2" s="44"/>
      <c r="AE2" s="44"/>
      <c r="AF2" s="44"/>
      <c r="AG2" s="44"/>
      <c r="AH2" s="44"/>
      <c r="AI2" s="44"/>
      <c r="AJ2" s="44"/>
      <c r="AK2" s="44"/>
      <c r="AL2" s="44"/>
      <c r="AM2" s="44"/>
      <c r="AN2" s="44"/>
      <c r="AO2" s="44"/>
      <c r="AP2" s="44"/>
      <c r="AQ2" s="44"/>
      <c r="AR2" s="44"/>
      <c r="AS2" s="44"/>
      <c r="AT2" s="44"/>
      <c r="AU2" s="44"/>
      <c r="AV2" s="44"/>
      <c r="AW2" s="44"/>
      <c r="AX2" s="44"/>
      <c r="AY2" s="44"/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  <c r="BL2" s="44"/>
      <c r="BM2" s="44"/>
      <c r="BN2" s="44"/>
      <c r="BO2" s="377"/>
      <c r="BP2" s="44"/>
      <c r="BQ2" s="44"/>
      <c r="BR2" s="44"/>
      <c r="BS2" s="44"/>
      <c r="BT2" s="44"/>
      <c r="BU2" s="44"/>
      <c r="BV2" s="44"/>
      <c r="BW2" s="44"/>
      <c r="BX2" s="44"/>
      <c r="BY2" s="44"/>
      <c r="BZ2" s="44"/>
      <c r="CA2" s="44"/>
      <c r="CB2" s="44"/>
      <c r="CC2" s="44"/>
      <c r="CD2" s="44"/>
      <c r="CE2" s="44"/>
      <c r="CF2" s="44"/>
      <c r="CG2" s="93"/>
      <c r="CH2" s="133"/>
    </row>
    <row r="3" spans="1:86" x14ac:dyDescent="0.3">
      <c r="A3" s="94" t="s">
        <v>226</v>
      </c>
      <c r="B3" s="213">
        <f>YEAR(B5)</f>
        <v>2015</v>
      </c>
      <c r="C3" s="213">
        <f t="shared" ref="C3:BN3" si="0">YEAR(C5)</f>
        <v>2015</v>
      </c>
      <c r="D3" s="213">
        <f t="shared" si="0"/>
        <v>2015</v>
      </c>
      <c r="E3" s="213">
        <f t="shared" si="0"/>
        <v>2015</v>
      </c>
      <c r="F3" s="213">
        <f t="shared" si="0"/>
        <v>2015</v>
      </c>
      <c r="G3" s="213">
        <f t="shared" si="0"/>
        <v>2015</v>
      </c>
      <c r="H3" s="213">
        <f t="shared" si="0"/>
        <v>2015</v>
      </c>
      <c r="I3" s="213">
        <f t="shared" si="0"/>
        <v>2015</v>
      </c>
      <c r="J3" s="213">
        <f t="shared" si="0"/>
        <v>2015</v>
      </c>
      <c r="K3" s="213">
        <f t="shared" si="0"/>
        <v>2015</v>
      </c>
      <c r="L3" s="213">
        <f t="shared" si="0"/>
        <v>2015</v>
      </c>
      <c r="M3" s="213">
        <f t="shared" si="0"/>
        <v>2015</v>
      </c>
      <c r="N3" s="213">
        <f t="shared" si="0"/>
        <v>2016</v>
      </c>
      <c r="O3" s="214">
        <f t="shared" si="0"/>
        <v>2016</v>
      </c>
      <c r="P3" s="214">
        <f t="shared" si="0"/>
        <v>2016</v>
      </c>
      <c r="Q3" s="214">
        <f t="shared" si="0"/>
        <v>2016</v>
      </c>
      <c r="R3" s="214">
        <f t="shared" si="0"/>
        <v>2016</v>
      </c>
      <c r="S3" s="214">
        <f t="shared" si="0"/>
        <v>2016</v>
      </c>
      <c r="T3" s="214">
        <f t="shared" si="0"/>
        <v>2016</v>
      </c>
      <c r="U3" s="214">
        <f t="shared" si="0"/>
        <v>2016</v>
      </c>
      <c r="V3" s="214">
        <f t="shared" si="0"/>
        <v>2016</v>
      </c>
      <c r="W3" s="214">
        <f t="shared" si="0"/>
        <v>2016</v>
      </c>
      <c r="X3" s="214">
        <f t="shared" si="0"/>
        <v>2016</v>
      </c>
      <c r="Y3" s="214">
        <f t="shared" si="0"/>
        <v>2016</v>
      </c>
      <c r="Z3" s="214">
        <f t="shared" si="0"/>
        <v>2017</v>
      </c>
      <c r="AA3" s="214">
        <f t="shared" si="0"/>
        <v>2017</v>
      </c>
      <c r="AB3" s="214">
        <f t="shared" si="0"/>
        <v>2017</v>
      </c>
      <c r="AC3" s="214">
        <f t="shared" si="0"/>
        <v>2017</v>
      </c>
      <c r="AD3" s="214">
        <f t="shared" si="0"/>
        <v>2017</v>
      </c>
      <c r="AE3" s="214">
        <f t="shared" si="0"/>
        <v>2017</v>
      </c>
      <c r="AF3" s="214">
        <f t="shared" si="0"/>
        <v>2017</v>
      </c>
      <c r="AG3" s="214">
        <f t="shared" si="0"/>
        <v>2017</v>
      </c>
      <c r="AH3" s="214">
        <f t="shared" si="0"/>
        <v>2017</v>
      </c>
      <c r="AI3" s="214">
        <f t="shared" si="0"/>
        <v>2017</v>
      </c>
      <c r="AJ3" s="214">
        <f t="shared" si="0"/>
        <v>2017</v>
      </c>
      <c r="AK3" s="214">
        <f t="shared" si="0"/>
        <v>2017</v>
      </c>
      <c r="AL3" s="214">
        <f t="shared" si="0"/>
        <v>2018</v>
      </c>
      <c r="AM3" s="214">
        <f t="shared" si="0"/>
        <v>2018</v>
      </c>
      <c r="AN3" s="214">
        <f t="shared" si="0"/>
        <v>2018</v>
      </c>
      <c r="AO3" s="214">
        <f t="shared" si="0"/>
        <v>2018</v>
      </c>
      <c r="AP3" s="214">
        <f t="shared" si="0"/>
        <v>2018</v>
      </c>
      <c r="AQ3" s="214">
        <f t="shared" si="0"/>
        <v>2018</v>
      </c>
      <c r="AR3" s="214">
        <f t="shared" si="0"/>
        <v>2018</v>
      </c>
      <c r="AS3" s="214">
        <f t="shared" si="0"/>
        <v>2018</v>
      </c>
      <c r="AT3" s="214">
        <f t="shared" si="0"/>
        <v>2018</v>
      </c>
      <c r="AU3" s="214">
        <f t="shared" si="0"/>
        <v>2018</v>
      </c>
      <c r="AV3" s="214">
        <f t="shared" si="0"/>
        <v>2018</v>
      </c>
      <c r="AW3" s="214">
        <f t="shared" si="0"/>
        <v>2018</v>
      </c>
      <c r="AX3" s="214">
        <f t="shared" si="0"/>
        <v>2019</v>
      </c>
      <c r="AY3" s="214">
        <f t="shared" si="0"/>
        <v>2019</v>
      </c>
      <c r="AZ3" s="214">
        <f t="shared" si="0"/>
        <v>2019</v>
      </c>
      <c r="BA3" s="214">
        <f t="shared" si="0"/>
        <v>2019</v>
      </c>
      <c r="BB3" s="214">
        <f t="shared" si="0"/>
        <v>2019</v>
      </c>
      <c r="BC3" s="214">
        <f t="shared" si="0"/>
        <v>2019</v>
      </c>
      <c r="BD3" s="214">
        <f t="shared" si="0"/>
        <v>2019</v>
      </c>
      <c r="BE3" s="214">
        <f t="shared" si="0"/>
        <v>2019</v>
      </c>
      <c r="BF3" s="214">
        <f t="shared" si="0"/>
        <v>2019</v>
      </c>
      <c r="BG3" s="214">
        <f t="shared" si="0"/>
        <v>2019</v>
      </c>
      <c r="BH3" s="214">
        <f t="shared" si="0"/>
        <v>2019</v>
      </c>
      <c r="BI3" s="214">
        <f t="shared" si="0"/>
        <v>2019</v>
      </c>
      <c r="BJ3" s="214">
        <f t="shared" si="0"/>
        <v>2020</v>
      </c>
      <c r="BK3" s="214">
        <f t="shared" si="0"/>
        <v>2020</v>
      </c>
      <c r="BL3" s="214">
        <f t="shared" si="0"/>
        <v>2020</v>
      </c>
      <c r="BM3" s="214">
        <f t="shared" si="0"/>
        <v>2020</v>
      </c>
      <c r="BN3" s="214">
        <f t="shared" si="0"/>
        <v>2020</v>
      </c>
      <c r="BO3" s="407">
        <f t="shared" ref="BO3:CG3" si="1">YEAR(BO5)</f>
        <v>2020</v>
      </c>
      <c r="BP3" s="214">
        <f t="shared" si="1"/>
        <v>2020</v>
      </c>
      <c r="BQ3" s="214">
        <f t="shared" si="1"/>
        <v>2020</v>
      </c>
      <c r="BR3" s="214">
        <f t="shared" si="1"/>
        <v>2020</v>
      </c>
      <c r="BS3" s="214">
        <f t="shared" si="1"/>
        <v>2020</v>
      </c>
      <c r="BT3" s="214">
        <f t="shared" si="1"/>
        <v>2020</v>
      </c>
      <c r="BU3" s="214">
        <f t="shared" si="1"/>
        <v>2020</v>
      </c>
      <c r="BV3" s="214">
        <f t="shared" si="1"/>
        <v>2021</v>
      </c>
      <c r="BW3" s="214">
        <f t="shared" si="1"/>
        <v>2021</v>
      </c>
      <c r="BX3" s="214">
        <f t="shared" si="1"/>
        <v>2021</v>
      </c>
      <c r="BY3" s="214">
        <f t="shared" si="1"/>
        <v>2021</v>
      </c>
      <c r="BZ3" s="214">
        <f t="shared" si="1"/>
        <v>2021</v>
      </c>
      <c r="CA3" s="214">
        <f t="shared" si="1"/>
        <v>2021</v>
      </c>
      <c r="CB3" s="214">
        <f t="shared" si="1"/>
        <v>2021</v>
      </c>
      <c r="CC3" s="214">
        <f t="shared" si="1"/>
        <v>2021</v>
      </c>
      <c r="CD3" s="214">
        <f t="shared" si="1"/>
        <v>2021</v>
      </c>
      <c r="CE3" s="214">
        <f t="shared" si="1"/>
        <v>2021</v>
      </c>
      <c r="CF3" s="214">
        <f t="shared" si="1"/>
        <v>2021</v>
      </c>
      <c r="CG3" s="215">
        <f t="shared" si="1"/>
        <v>2021</v>
      </c>
      <c r="CH3" s="133"/>
    </row>
    <row r="4" spans="1:86" x14ac:dyDescent="0.3">
      <c r="A4" s="44"/>
      <c r="B4" s="96" t="s">
        <v>224</v>
      </c>
      <c r="C4" s="96" t="s">
        <v>224</v>
      </c>
      <c r="D4" s="96" t="s">
        <v>224</v>
      </c>
      <c r="E4" s="96" t="s">
        <v>224</v>
      </c>
      <c r="F4" s="96" t="s">
        <v>224</v>
      </c>
      <c r="G4" s="96" t="s">
        <v>224</v>
      </c>
      <c r="H4" s="96" t="s">
        <v>224</v>
      </c>
      <c r="I4" s="96" t="s">
        <v>224</v>
      </c>
      <c r="J4" s="96" t="s">
        <v>224</v>
      </c>
      <c r="K4" s="96" t="s">
        <v>224</v>
      </c>
      <c r="L4" s="96" t="s">
        <v>224</v>
      </c>
      <c r="M4" s="96" t="s">
        <v>224</v>
      </c>
      <c r="N4" s="96" t="s">
        <v>224</v>
      </c>
      <c r="O4" s="96" t="s">
        <v>224</v>
      </c>
      <c r="P4" s="96" t="s">
        <v>224</v>
      </c>
      <c r="Q4" s="96" t="s">
        <v>224</v>
      </c>
      <c r="R4" s="96" t="s">
        <v>224</v>
      </c>
      <c r="S4" s="96" t="s">
        <v>224</v>
      </c>
      <c r="T4" s="96" t="s">
        <v>224</v>
      </c>
      <c r="U4" s="96" t="s">
        <v>224</v>
      </c>
      <c r="V4" s="96" t="s">
        <v>224</v>
      </c>
      <c r="W4" s="96" t="s">
        <v>224</v>
      </c>
      <c r="X4" s="96" t="s">
        <v>224</v>
      </c>
      <c r="Y4" s="96" t="s">
        <v>224</v>
      </c>
      <c r="Z4" s="96" t="s">
        <v>224</v>
      </c>
      <c r="AA4" s="96" t="s">
        <v>224</v>
      </c>
      <c r="AB4" s="96" t="s">
        <v>224</v>
      </c>
      <c r="AC4" s="96" t="s">
        <v>224</v>
      </c>
      <c r="AD4" s="96" t="s">
        <v>224</v>
      </c>
      <c r="AE4" s="96" t="s">
        <v>224</v>
      </c>
      <c r="AF4" s="96" t="s">
        <v>224</v>
      </c>
      <c r="AG4" s="96" t="s">
        <v>224</v>
      </c>
      <c r="AH4" s="96" t="s">
        <v>224</v>
      </c>
      <c r="AI4" s="96" t="s">
        <v>224</v>
      </c>
      <c r="AJ4" s="96" t="s">
        <v>224</v>
      </c>
      <c r="AK4" s="96" t="s">
        <v>224</v>
      </c>
      <c r="AL4" s="96" t="s">
        <v>224</v>
      </c>
      <c r="AM4" s="96" t="s">
        <v>224</v>
      </c>
      <c r="AN4" s="96" t="s">
        <v>224</v>
      </c>
      <c r="AO4" s="96" t="s">
        <v>224</v>
      </c>
      <c r="AP4" s="96" t="s">
        <v>224</v>
      </c>
      <c r="AQ4" s="96" t="s">
        <v>224</v>
      </c>
      <c r="AR4" s="96" t="s">
        <v>224</v>
      </c>
      <c r="AS4" s="96" t="s">
        <v>224</v>
      </c>
      <c r="AT4" s="96" t="s">
        <v>224</v>
      </c>
      <c r="AU4" s="96" t="s">
        <v>224</v>
      </c>
      <c r="AV4" s="96" t="s">
        <v>224</v>
      </c>
      <c r="AW4" s="96" t="s">
        <v>224</v>
      </c>
      <c r="AX4" s="96" t="s">
        <v>224</v>
      </c>
      <c r="AY4" s="96" t="s">
        <v>224</v>
      </c>
      <c r="AZ4" s="96" t="s">
        <v>224</v>
      </c>
      <c r="BA4" s="96" t="s">
        <v>224</v>
      </c>
      <c r="BB4" s="96" t="s">
        <v>224</v>
      </c>
      <c r="BC4" s="96" t="s">
        <v>224</v>
      </c>
      <c r="BD4" s="96" t="s">
        <v>224</v>
      </c>
      <c r="BE4" s="96" t="s">
        <v>224</v>
      </c>
      <c r="BF4" s="96" t="s">
        <v>224</v>
      </c>
      <c r="BG4" s="96" t="s">
        <v>224</v>
      </c>
      <c r="BH4" s="96" t="s">
        <v>224</v>
      </c>
      <c r="BI4" s="96" t="s">
        <v>224</v>
      </c>
      <c r="BJ4" s="96" t="s">
        <v>224</v>
      </c>
      <c r="BK4" s="96" t="s">
        <v>224</v>
      </c>
      <c r="BL4" s="96" t="s">
        <v>224</v>
      </c>
      <c r="BM4" s="96" t="s">
        <v>224</v>
      </c>
      <c r="BN4" s="96" t="s">
        <v>224</v>
      </c>
      <c r="BO4" s="408" t="s">
        <v>224</v>
      </c>
      <c r="BP4" s="97" t="s">
        <v>225</v>
      </c>
      <c r="BQ4" s="97" t="s">
        <v>225</v>
      </c>
      <c r="BR4" s="97" t="s">
        <v>225</v>
      </c>
      <c r="BS4" s="97" t="s">
        <v>225</v>
      </c>
      <c r="BT4" s="97" t="s">
        <v>225</v>
      </c>
      <c r="BU4" s="97" t="s">
        <v>225</v>
      </c>
      <c r="BV4" s="97" t="s">
        <v>225</v>
      </c>
      <c r="BW4" s="97" t="s">
        <v>225</v>
      </c>
      <c r="BX4" s="97" t="s">
        <v>225</v>
      </c>
      <c r="BY4" s="97" t="s">
        <v>225</v>
      </c>
      <c r="BZ4" s="97" t="s">
        <v>225</v>
      </c>
      <c r="CA4" s="97" t="s">
        <v>225</v>
      </c>
      <c r="CB4" s="97" t="s">
        <v>225</v>
      </c>
      <c r="CC4" s="97" t="s">
        <v>225</v>
      </c>
      <c r="CD4" s="97" t="s">
        <v>225</v>
      </c>
      <c r="CE4" s="97" t="s">
        <v>225</v>
      </c>
      <c r="CF4" s="97" t="s">
        <v>225</v>
      </c>
      <c r="CG4" s="98" t="s">
        <v>225</v>
      </c>
      <c r="CH4" s="133"/>
    </row>
    <row r="5" spans="1:86" x14ac:dyDescent="0.3">
      <c r="A5" s="28"/>
      <c r="B5" s="13">
        <v>42005</v>
      </c>
      <c r="C5" s="13">
        <v>42036</v>
      </c>
      <c r="D5" s="13">
        <v>42064</v>
      </c>
      <c r="E5" s="13">
        <v>42095</v>
      </c>
      <c r="F5" s="13">
        <v>42125</v>
      </c>
      <c r="G5" s="13">
        <v>42156</v>
      </c>
      <c r="H5" s="13">
        <v>42186</v>
      </c>
      <c r="I5" s="13">
        <v>42217</v>
      </c>
      <c r="J5" s="13">
        <v>42248</v>
      </c>
      <c r="K5" s="13">
        <v>42278</v>
      </c>
      <c r="L5" s="13">
        <v>42309</v>
      </c>
      <c r="M5" s="13">
        <v>42339</v>
      </c>
      <c r="N5" s="13">
        <v>42370</v>
      </c>
      <c r="O5" s="13">
        <v>42401</v>
      </c>
      <c r="P5" s="13">
        <v>42430</v>
      </c>
      <c r="Q5" s="13">
        <v>42461</v>
      </c>
      <c r="R5" s="13">
        <v>42491</v>
      </c>
      <c r="S5" s="13">
        <v>42522</v>
      </c>
      <c r="T5" s="13">
        <v>42552</v>
      </c>
      <c r="U5" s="13">
        <v>42583</v>
      </c>
      <c r="V5" s="13">
        <v>42614</v>
      </c>
      <c r="W5" s="13">
        <v>42644</v>
      </c>
      <c r="X5" s="13">
        <v>42675</v>
      </c>
      <c r="Y5" s="13">
        <v>42705</v>
      </c>
      <c r="Z5" s="13">
        <v>42736</v>
      </c>
      <c r="AA5" s="13">
        <v>42767</v>
      </c>
      <c r="AB5" s="13">
        <v>42795</v>
      </c>
      <c r="AC5" s="13">
        <v>42826</v>
      </c>
      <c r="AD5" s="13">
        <v>42856</v>
      </c>
      <c r="AE5" s="13">
        <v>42887</v>
      </c>
      <c r="AF5" s="13">
        <v>42917</v>
      </c>
      <c r="AG5" s="13">
        <v>42948</v>
      </c>
      <c r="AH5" s="13">
        <v>42979</v>
      </c>
      <c r="AI5" s="13">
        <v>43009</v>
      </c>
      <c r="AJ5" s="13">
        <v>43040</v>
      </c>
      <c r="AK5" s="13">
        <v>43070</v>
      </c>
      <c r="AL5" s="13">
        <v>43101</v>
      </c>
      <c r="AM5" s="13">
        <v>43132</v>
      </c>
      <c r="AN5" s="13">
        <v>43160</v>
      </c>
      <c r="AO5" s="13">
        <v>43191</v>
      </c>
      <c r="AP5" s="13">
        <v>43221</v>
      </c>
      <c r="AQ5" s="13">
        <v>43252</v>
      </c>
      <c r="AR5" s="13">
        <v>43282</v>
      </c>
      <c r="AS5" s="13">
        <v>43313</v>
      </c>
      <c r="AT5" s="13">
        <v>43344</v>
      </c>
      <c r="AU5" s="13">
        <v>43374</v>
      </c>
      <c r="AV5" s="13">
        <v>43405</v>
      </c>
      <c r="AW5" s="13">
        <v>43435</v>
      </c>
      <c r="AX5" s="13">
        <v>43466</v>
      </c>
      <c r="AY5" s="13">
        <v>43497</v>
      </c>
      <c r="AZ5" s="13">
        <v>43525</v>
      </c>
      <c r="BA5" s="13">
        <v>43556</v>
      </c>
      <c r="BB5" s="13">
        <v>43586</v>
      </c>
      <c r="BC5" s="13">
        <v>43617</v>
      </c>
      <c r="BD5" s="13">
        <v>43647</v>
      </c>
      <c r="BE5" s="13">
        <v>43678</v>
      </c>
      <c r="BF5" s="13">
        <v>43709</v>
      </c>
      <c r="BG5" s="13">
        <v>43739</v>
      </c>
      <c r="BH5" s="13">
        <v>43770</v>
      </c>
      <c r="BI5" s="13">
        <v>43800</v>
      </c>
      <c r="BJ5" s="13">
        <v>43831</v>
      </c>
      <c r="BK5" s="13">
        <v>43862</v>
      </c>
      <c r="BL5" s="13">
        <v>43891</v>
      </c>
      <c r="BM5" s="13">
        <v>43922</v>
      </c>
      <c r="BN5" s="13">
        <v>43952</v>
      </c>
      <c r="BO5" s="409">
        <v>43983</v>
      </c>
      <c r="BP5" s="27">
        <v>44013</v>
      </c>
      <c r="BQ5" s="27">
        <v>44044</v>
      </c>
      <c r="BR5" s="27">
        <v>44075</v>
      </c>
      <c r="BS5" s="27">
        <v>44105</v>
      </c>
      <c r="BT5" s="27">
        <v>44136</v>
      </c>
      <c r="BU5" s="27">
        <v>44166</v>
      </c>
      <c r="BV5" s="27">
        <v>44197</v>
      </c>
      <c r="BW5" s="27">
        <v>44228</v>
      </c>
      <c r="BX5" s="27">
        <v>44256</v>
      </c>
      <c r="BY5" s="27">
        <v>44287</v>
      </c>
      <c r="BZ5" s="27">
        <v>44317</v>
      </c>
      <c r="CA5" s="27">
        <v>44348</v>
      </c>
      <c r="CB5" s="27">
        <v>44378</v>
      </c>
      <c r="CC5" s="27">
        <v>44409</v>
      </c>
      <c r="CD5" s="27">
        <v>44440</v>
      </c>
      <c r="CE5" s="27">
        <v>44470</v>
      </c>
      <c r="CF5" s="27">
        <v>44501</v>
      </c>
      <c r="CG5" s="99">
        <v>44531</v>
      </c>
      <c r="CH5" s="133"/>
    </row>
    <row r="6" spans="1:86" x14ac:dyDescent="0.3">
      <c r="A6" s="84" t="s">
        <v>17</v>
      </c>
      <c r="B6" s="176"/>
      <c r="C6" s="176"/>
      <c r="D6" s="176"/>
      <c r="E6" s="176"/>
      <c r="F6" s="176"/>
      <c r="G6" s="176"/>
      <c r="H6" s="176"/>
      <c r="I6" s="176"/>
      <c r="J6" s="176"/>
      <c r="K6" s="176"/>
      <c r="L6" s="176"/>
      <c r="M6" s="176"/>
      <c r="N6" s="176"/>
      <c r="O6" s="176"/>
      <c r="P6" s="176"/>
      <c r="Q6" s="176"/>
      <c r="R6" s="176"/>
      <c r="S6" s="176"/>
      <c r="T6" s="176"/>
      <c r="U6" s="176"/>
      <c r="V6" s="176"/>
      <c r="W6" s="176"/>
      <c r="X6" s="176"/>
      <c r="Y6" s="176"/>
      <c r="Z6" s="176"/>
      <c r="AA6" s="176"/>
      <c r="AB6" s="176"/>
      <c r="AC6" s="176"/>
      <c r="AD6" s="176"/>
      <c r="AE6" s="176"/>
      <c r="AF6" s="176"/>
      <c r="AG6" s="176"/>
      <c r="AH6" s="176"/>
      <c r="AI6" s="176"/>
      <c r="AJ6" s="176"/>
      <c r="AK6" s="176"/>
      <c r="AL6" s="176"/>
      <c r="AM6" s="176"/>
      <c r="AN6" s="176"/>
      <c r="AO6" s="176"/>
      <c r="AP6" s="176"/>
      <c r="AQ6" s="176"/>
      <c r="AR6" s="176"/>
      <c r="AS6" s="176"/>
      <c r="AT6" s="176"/>
      <c r="AU6" s="176"/>
      <c r="AV6" s="176"/>
      <c r="AW6" s="176"/>
      <c r="AX6" s="177"/>
      <c r="AY6" s="177"/>
      <c r="AZ6" s="177"/>
      <c r="BA6" s="177"/>
      <c r="BB6" s="177"/>
      <c r="BC6" s="177"/>
      <c r="BD6" s="177"/>
      <c r="BE6" s="177"/>
      <c r="BF6" s="177"/>
      <c r="BG6" s="177"/>
      <c r="BH6" s="177"/>
      <c r="BI6" s="177"/>
      <c r="BJ6" s="177"/>
      <c r="BK6" s="177"/>
      <c r="BL6" s="177"/>
      <c r="BM6" s="177"/>
      <c r="BN6" s="177"/>
      <c r="BO6" s="410"/>
      <c r="BP6" s="178"/>
      <c r="BQ6" s="178"/>
      <c r="BR6" s="178"/>
      <c r="BS6" s="178"/>
      <c r="BT6" s="178"/>
      <c r="BU6" s="178"/>
      <c r="BV6" s="178"/>
      <c r="BW6" s="178"/>
      <c r="BX6" s="178"/>
      <c r="BY6" s="178"/>
      <c r="BZ6" s="178"/>
      <c r="CA6" s="178"/>
      <c r="CB6" s="178"/>
      <c r="CC6" s="178"/>
      <c r="CD6" s="178"/>
      <c r="CE6" s="178"/>
      <c r="CF6" s="178"/>
      <c r="CG6" s="179"/>
      <c r="CH6" s="134"/>
    </row>
    <row r="7" spans="1:86" x14ac:dyDescent="0.3">
      <c r="A7" s="21" t="s">
        <v>18</v>
      </c>
      <c r="B7" s="206">
        <f>Analysis!D29</f>
        <v>19400.8</v>
      </c>
      <c r="C7" s="206">
        <f>Analysis!E29</f>
        <v>14611.54</v>
      </c>
      <c r="D7" s="206">
        <f>Analysis!F29</f>
        <v>16342.97</v>
      </c>
      <c r="E7" s="206">
        <f>Analysis!G29</f>
        <v>19921.3</v>
      </c>
      <c r="F7" s="206">
        <f>Analysis!H29</f>
        <v>28289.79</v>
      </c>
      <c r="G7" s="206">
        <f>Analysis!I29</f>
        <v>23953.599999999999</v>
      </c>
      <c r="H7" s="206">
        <f>Analysis!J29</f>
        <v>30831.919999999998</v>
      </c>
      <c r="I7" s="206">
        <f>Analysis!K29</f>
        <v>39356.339999999997</v>
      </c>
      <c r="J7" s="206">
        <f>Analysis!L29</f>
        <v>49359.96</v>
      </c>
      <c r="K7" s="206">
        <f>Analysis!M29</f>
        <v>56308.639999999999</v>
      </c>
      <c r="L7" s="206">
        <f>Analysis!N29</f>
        <v>56091.96</v>
      </c>
      <c r="M7" s="206">
        <f>Analysis!O29</f>
        <v>61498.73</v>
      </c>
      <c r="N7" s="206">
        <f>Analysis!P29</f>
        <v>77774.86</v>
      </c>
      <c r="O7" s="206">
        <f>Analysis!Q29</f>
        <v>115834.7</v>
      </c>
      <c r="P7" s="206">
        <f>Analysis!R29</f>
        <v>111617.61</v>
      </c>
      <c r="Q7" s="206">
        <f>Analysis!S29</f>
        <v>114626.36</v>
      </c>
      <c r="R7" s="206">
        <f>Analysis!T29</f>
        <v>111730.65</v>
      </c>
      <c r="S7" s="206">
        <f>Analysis!U29</f>
        <v>133049.99</v>
      </c>
      <c r="T7" s="206">
        <f>Analysis!V29</f>
        <v>125449.94</v>
      </c>
      <c r="U7" s="206">
        <f>Analysis!W29</f>
        <v>138681.18</v>
      </c>
      <c r="V7" s="206">
        <f>Analysis!X29</f>
        <v>137741.67000000001</v>
      </c>
      <c r="W7" s="206">
        <f>Analysis!Y29</f>
        <v>150495.89000000001</v>
      </c>
      <c r="X7" s="206">
        <f>Analysis!Z29</f>
        <v>160900.76999999999</v>
      </c>
      <c r="Y7" s="206">
        <f>Analysis!AA29</f>
        <v>166819.71</v>
      </c>
      <c r="Z7" s="206">
        <f>Analysis!AB29</f>
        <v>175479.88</v>
      </c>
      <c r="AA7" s="206">
        <f>Analysis!AC29</f>
        <v>170936.17</v>
      </c>
      <c r="AB7" s="206">
        <f>Analysis!AD29</f>
        <v>261609.36</v>
      </c>
      <c r="AC7" s="206">
        <f>Analysis!AE29</f>
        <v>252471.08</v>
      </c>
      <c r="AD7" s="206">
        <f>Analysis!AF29</f>
        <v>293509.28999999998</v>
      </c>
      <c r="AE7" s="206">
        <f>Analysis!AG29</f>
        <v>321195.15000000002</v>
      </c>
      <c r="AF7" s="206">
        <f>Analysis!AH29</f>
        <v>286840.69</v>
      </c>
      <c r="AG7" s="206">
        <f>Analysis!AI29</f>
        <v>358925.84</v>
      </c>
      <c r="AH7" s="206">
        <f>Analysis!AJ29</f>
        <v>346468.1</v>
      </c>
      <c r="AI7" s="206">
        <f>Analysis!AK29</f>
        <v>335459.63</v>
      </c>
      <c r="AJ7" s="206">
        <f>Analysis!AL29</f>
        <v>407025.33</v>
      </c>
      <c r="AK7" s="206">
        <f>Analysis!AM29</f>
        <v>389783.93</v>
      </c>
      <c r="AL7" s="206">
        <f>Analysis!AN29</f>
        <v>449506.31</v>
      </c>
      <c r="AM7" s="206">
        <f>Analysis!AO29</f>
        <v>412315.94</v>
      </c>
      <c r="AN7" s="206">
        <f>Analysis!AP29</f>
        <v>688164.93</v>
      </c>
      <c r="AO7" s="206">
        <f>Analysis!AQ29</f>
        <v>1120922.52</v>
      </c>
      <c r="AP7" s="206">
        <f>Analysis!AR29</f>
        <v>1159950.72</v>
      </c>
      <c r="AQ7" s="206">
        <f>Analysis!AS29</f>
        <v>1101331.92</v>
      </c>
      <c r="AR7" s="206">
        <f>Analysis!AT29</f>
        <v>1277200.51</v>
      </c>
      <c r="AS7" s="206">
        <f>Analysis!AU29</f>
        <v>1770166.06</v>
      </c>
      <c r="AT7" s="206">
        <f>Analysis!AV29</f>
        <v>1583921.23</v>
      </c>
      <c r="AU7" s="206">
        <f>Analysis!AW29</f>
        <v>1941754.8799999999</v>
      </c>
      <c r="AV7" s="206">
        <f>Analysis!AX29</f>
        <v>1914975.88</v>
      </c>
      <c r="AW7" s="206">
        <f>Analysis!AY29</f>
        <v>1911699.81</v>
      </c>
      <c r="AX7" s="206">
        <f>Analysis!AZ29</f>
        <v>2361646.36</v>
      </c>
      <c r="AY7" s="206">
        <f>Analysis!BA29</f>
        <v>2080114.98</v>
      </c>
      <c r="AZ7" s="206">
        <f>Analysis!BB29</f>
        <v>2298309.13</v>
      </c>
      <c r="BA7" s="206">
        <f>Analysis!BC29</f>
        <v>2332928.0099999998</v>
      </c>
      <c r="BB7" s="206">
        <f>Analysis!BD29</f>
        <v>2479489.39</v>
      </c>
      <c r="BC7" s="206">
        <f>Analysis!BE29</f>
        <v>2214105.5499999998</v>
      </c>
      <c r="BD7" s="206">
        <f>Analysis!BF29</f>
        <v>2577661.09</v>
      </c>
      <c r="BE7" s="206">
        <f>Analysis!BG29</f>
        <v>2613482.4900000002</v>
      </c>
      <c r="BF7" s="206">
        <f>Analysis!BH29</f>
        <v>2205283.7400000002</v>
      </c>
      <c r="BG7" s="206">
        <f>Analysis!BI29</f>
        <v>2827126.13</v>
      </c>
      <c r="BH7" s="206">
        <f>Analysis!BJ29</f>
        <v>2058742.23</v>
      </c>
      <c r="BI7" s="206">
        <f>Analysis!BK29</f>
        <v>2383622.9</v>
      </c>
      <c r="BJ7" s="206">
        <f>Analysis!BL29</f>
        <v>2588924.3199999998</v>
      </c>
      <c r="BK7" s="206">
        <f>Analysis!BM29</f>
        <v>2293243.14</v>
      </c>
      <c r="BL7" s="206">
        <f>Analysis!BN29</f>
        <v>2858758.31</v>
      </c>
      <c r="BM7" s="206">
        <f>Analysis!BO29</f>
        <v>2872051.65</v>
      </c>
      <c r="BN7" s="206">
        <f>Analysis!BP29</f>
        <v>2748936.36</v>
      </c>
      <c r="BO7" s="411">
        <f>Analysis!BQ29</f>
        <v>3343337.59</v>
      </c>
      <c r="BP7" s="58">
        <f>Analysis!BR29</f>
        <v>3222084.6825006027</v>
      </c>
      <c r="BQ7" s="58">
        <f>Analysis!BS29</f>
        <v>3270767.9968259498</v>
      </c>
      <c r="BR7" s="58">
        <f>Analysis!BT29</f>
        <v>3352066.0226044287</v>
      </c>
      <c r="BS7" s="58">
        <f>Analysis!BU29</f>
        <v>3457302.0349638714</v>
      </c>
      <c r="BT7" s="58">
        <f>Analysis!BV29</f>
        <v>3574257.6381753758</v>
      </c>
      <c r="BU7" s="58">
        <f>Analysis!BW29</f>
        <v>3719071.2269747378</v>
      </c>
      <c r="BV7" s="58">
        <f>Analysis!BX29</f>
        <v>3851348.9148426652</v>
      </c>
      <c r="BW7" s="58">
        <f>Analysis!BY29</f>
        <v>3965371.7014787756</v>
      </c>
      <c r="BX7" s="58">
        <f>Analysis!BZ29</f>
        <v>4078737.3392251031</v>
      </c>
      <c r="BY7" s="58">
        <f>Analysis!CA29</f>
        <v>4188597.4655982559</v>
      </c>
      <c r="BZ7" s="58">
        <f>Analysis!CB29</f>
        <v>4295595.6357444655</v>
      </c>
      <c r="CA7" s="58">
        <f>Analysis!CC29</f>
        <v>4396858.3684584647</v>
      </c>
      <c r="CB7" s="58">
        <f>Analysis!CD29</f>
        <v>4471886.4912180686</v>
      </c>
      <c r="CC7" s="58">
        <f>Analysis!CE29</f>
        <v>4554976.4503146121</v>
      </c>
      <c r="CD7" s="58">
        <f>Analysis!CF29</f>
        <v>4635552.6732571442</v>
      </c>
      <c r="CE7" s="58">
        <f>Analysis!CG29</f>
        <v>4714194.1957217446</v>
      </c>
      <c r="CF7" s="58">
        <f>Analysis!CH29</f>
        <v>4791794.3816167982</v>
      </c>
      <c r="CG7" s="121">
        <f>Analysis!CI29</f>
        <v>4870030.9199422728</v>
      </c>
      <c r="CH7" s="134"/>
    </row>
    <row r="8" spans="1:86" x14ac:dyDescent="0.3">
      <c r="A8" s="21" t="s">
        <v>19</v>
      </c>
      <c r="B8" s="20" t="str">
        <f>Analysis!D30</f>
        <v/>
      </c>
      <c r="C8" s="20" t="str">
        <f>Analysis!E30</f>
        <v/>
      </c>
      <c r="D8" s="20" t="str">
        <f>Analysis!F30</f>
        <v/>
      </c>
      <c r="E8" s="20" t="str">
        <f>Analysis!G30</f>
        <v/>
      </c>
      <c r="F8" s="20" t="str">
        <f>Analysis!H30</f>
        <v/>
      </c>
      <c r="G8" s="20" t="str">
        <f>Analysis!I30</f>
        <v/>
      </c>
      <c r="H8" s="20" t="str">
        <f>Analysis!J30</f>
        <v/>
      </c>
      <c r="I8" s="20" t="str">
        <f>Analysis!K30</f>
        <v/>
      </c>
      <c r="J8" s="20" t="str">
        <f>Analysis!L30</f>
        <v/>
      </c>
      <c r="K8" s="20" t="str">
        <f>Analysis!M30</f>
        <v/>
      </c>
      <c r="L8" s="20" t="str">
        <f>Analysis!N30</f>
        <v/>
      </c>
      <c r="M8" s="20" t="str">
        <f>Analysis!O30</f>
        <v/>
      </c>
      <c r="N8" s="20">
        <f>Analysis!P30</f>
        <v>-3543.57</v>
      </c>
      <c r="O8" s="20">
        <f>Analysis!Q30</f>
        <v>-4493.26</v>
      </c>
      <c r="P8" s="20">
        <f>Analysis!R30</f>
        <v>-4805.33</v>
      </c>
      <c r="Q8" s="20">
        <f>Analysis!S30</f>
        <v>-6589.51</v>
      </c>
      <c r="R8" s="20">
        <f>Analysis!T30</f>
        <v>-11010.87</v>
      </c>
      <c r="S8" s="20">
        <f>Analysis!U30</f>
        <v>-12177.97</v>
      </c>
      <c r="T8" s="20">
        <f>Analysis!V30</f>
        <v>-19928.71</v>
      </c>
      <c r="U8" s="20">
        <f>Analysis!W30</f>
        <v>-9893.4699999999993</v>
      </c>
      <c r="V8" s="20">
        <f>Analysis!X30</f>
        <v>-13899.13</v>
      </c>
      <c r="W8" s="20">
        <f>Analysis!Y30</f>
        <v>-13005.85</v>
      </c>
      <c r="X8" s="20">
        <f>Analysis!Z30</f>
        <v>-12190.58</v>
      </c>
      <c r="Y8" s="20">
        <f>Analysis!AA30</f>
        <v>-25067.32</v>
      </c>
      <c r="Z8" s="20">
        <f>Analysis!AB30</f>
        <v>-34144.089999999997</v>
      </c>
      <c r="AA8" s="20">
        <f>Analysis!AC30</f>
        <v>-12676</v>
      </c>
      <c r="AB8" s="20">
        <f>Analysis!AD30</f>
        <v>-11720.35</v>
      </c>
      <c r="AC8" s="20">
        <f>Analysis!AE30</f>
        <v>-12022.52</v>
      </c>
      <c r="AD8" s="20">
        <f>Analysis!AF30</f>
        <v>-14894.6</v>
      </c>
      <c r="AE8" s="20">
        <f>Analysis!AG30</f>
        <v>-22176.34</v>
      </c>
      <c r="AF8" s="20">
        <f>Analysis!AH30</f>
        <v>-19754.36</v>
      </c>
      <c r="AG8" s="20">
        <f>Analysis!AI30</f>
        <v>-21243.49</v>
      </c>
      <c r="AH8" s="20">
        <f>Analysis!AJ30</f>
        <v>-24995</v>
      </c>
      <c r="AI8" s="20">
        <f>Analysis!AK30</f>
        <v>-23676.89</v>
      </c>
      <c r="AJ8" s="20">
        <f>Analysis!AL30</f>
        <v>-24826.639999999999</v>
      </c>
      <c r="AK8" s="20">
        <f>Analysis!AM30</f>
        <v>-47682.73</v>
      </c>
      <c r="AL8" s="20">
        <f>Analysis!AN30</f>
        <v>-39047.24</v>
      </c>
      <c r="AM8" s="20">
        <f>Analysis!AO30</f>
        <v>-32767.71</v>
      </c>
      <c r="AN8" s="20">
        <f>Analysis!AP30</f>
        <v>-47704.21</v>
      </c>
      <c r="AO8" s="20">
        <f>Analysis!AQ30</f>
        <v>-81341.09</v>
      </c>
      <c r="AP8" s="20">
        <f>Analysis!AR30</f>
        <v>-93437.02</v>
      </c>
      <c r="AQ8" s="20">
        <f>Analysis!AS30</f>
        <v>-94124.96</v>
      </c>
      <c r="AR8" s="20">
        <f>Analysis!AT30</f>
        <v>-97007.1</v>
      </c>
      <c r="AS8" s="20">
        <f>Analysis!AU30</f>
        <v>-184709.1</v>
      </c>
      <c r="AT8" s="20">
        <f>Analysis!AV30</f>
        <v>-180913.39</v>
      </c>
      <c r="AU8" s="20">
        <f>Analysis!AW30</f>
        <v>-163672.56</v>
      </c>
      <c r="AV8" s="20">
        <f>Analysis!AX30</f>
        <v>-205024.04</v>
      </c>
      <c r="AW8" s="20">
        <f>Analysis!AY30</f>
        <v>-240028.64</v>
      </c>
      <c r="AX8" s="20">
        <f>Analysis!AZ30</f>
        <v>-307329.12</v>
      </c>
      <c r="AY8" s="20">
        <f>Analysis!BA30</f>
        <v>-201444.94</v>
      </c>
      <c r="AZ8" s="20">
        <f>Analysis!BB30</f>
        <v>-221840.73</v>
      </c>
      <c r="BA8" s="20">
        <f>Analysis!BC30</f>
        <v>-239255.76</v>
      </c>
      <c r="BB8" s="20">
        <f>Analysis!BD30</f>
        <v>-258005.41</v>
      </c>
      <c r="BC8" s="20">
        <f>Analysis!BE30</f>
        <v>-252349.04</v>
      </c>
      <c r="BD8" s="20">
        <f>Analysis!BF30</f>
        <v>-286820.96000000002</v>
      </c>
      <c r="BE8" s="20">
        <f>Analysis!BG30</f>
        <v>-292067.25</v>
      </c>
      <c r="BF8" s="20">
        <f>Analysis!BH30</f>
        <v>-282617</v>
      </c>
      <c r="BG8" s="20">
        <f>Analysis!BI30</f>
        <v>-474209.88</v>
      </c>
      <c r="BH8" s="20">
        <f>Analysis!BJ30</f>
        <v>-326285.34999999998</v>
      </c>
      <c r="BI8" s="20">
        <f>Analysis!BK30</f>
        <v>-313324.44</v>
      </c>
      <c r="BJ8" s="20">
        <f>Analysis!BL30</f>
        <v>-371489.01</v>
      </c>
      <c r="BK8" s="20">
        <f>Analysis!BM30</f>
        <v>-241971.03</v>
      </c>
      <c r="BL8" s="20">
        <f>Analysis!BN30</f>
        <v>-265750.83</v>
      </c>
      <c r="BM8" s="20">
        <f>Analysis!BO30</f>
        <v>-240045.95</v>
      </c>
      <c r="BN8" s="20">
        <f>Analysis!BP30</f>
        <v>-238502.97</v>
      </c>
      <c r="BO8" s="412">
        <f>Analysis!BQ30</f>
        <v>-517562.84</v>
      </c>
      <c r="BP8" s="59">
        <f>Analysis!BR30</f>
        <v>-395494.09153228241</v>
      </c>
      <c r="BQ8" s="59">
        <f>Analysis!BS30</f>
        <v>-404490.99362487439</v>
      </c>
      <c r="BR8" s="59">
        <f>Analysis!BT30</f>
        <v>-417739.61779156385</v>
      </c>
      <c r="BS8" s="59">
        <f>Analysis!BU30</f>
        <v>-430057.82072645437</v>
      </c>
      <c r="BT8" s="59">
        <f>Analysis!BV30</f>
        <v>-431892.19097509055</v>
      </c>
      <c r="BU8" s="59">
        <f>Analysis!BW30</f>
        <v>-441374.58885553689</v>
      </c>
      <c r="BV8" s="59">
        <f>Analysis!BX30</f>
        <v>-453930.25978294568</v>
      </c>
      <c r="BW8" s="59">
        <f>Analysis!BY30</f>
        <v>-460546.51269817696</v>
      </c>
      <c r="BX8" s="59">
        <f>Analysis!BZ30</f>
        <v>-476183.56949680857</v>
      </c>
      <c r="BY8" s="59">
        <f>Analysis!CA30</f>
        <v>-495880.42683124729</v>
      </c>
      <c r="BZ8" s="59">
        <f>Analysis!CB30</f>
        <v>-518587.87140172004</v>
      </c>
      <c r="CA8" s="59">
        <f>Analysis!CC30</f>
        <v>-540075.51165519352</v>
      </c>
      <c r="CB8" s="59">
        <f>Analysis!CD30</f>
        <v>-538755.91076644091</v>
      </c>
      <c r="CC8" s="59">
        <f>Analysis!CE30</f>
        <v>-548052.12651916337</v>
      </c>
      <c r="CD8" s="59">
        <f>Analysis!CF30</f>
        <v>-556687.05689512752</v>
      </c>
      <c r="CE8" s="59">
        <f>Analysis!CG30</f>
        <v>-564675.65294658754</v>
      </c>
      <c r="CF8" s="59">
        <f>Analysis!CH30</f>
        <v>-572457.10696584824</v>
      </c>
      <c r="CG8" s="122">
        <f>Analysis!CI30</f>
        <v>-581342.82318422303</v>
      </c>
      <c r="CH8" s="269"/>
    </row>
    <row r="9" spans="1:86" x14ac:dyDescent="0.3">
      <c r="A9" s="25" t="s">
        <v>20</v>
      </c>
      <c r="B9" s="123">
        <f>SUM(B7:B8)</f>
        <v>19400.8</v>
      </c>
      <c r="C9" s="123">
        <f t="shared" ref="C9:BN9" si="2">SUM(C7:C8)</f>
        <v>14611.54</v>
      </c>
      <c r="D9" s="123">
        <f t="shared" si="2"/>
        <v>16342.97</v>
      </c>
      <c r="E9" s="123">
        <f t="shared" si="2"/>
        <v>19921.3</v>
      </c>
      <c r="F9" s="123">
        <f t="shared" si="2"/>
        <v>28289.79</v>
      </c>
      <c r="G9" s="123">
        <f t="shared" si="2"/>
        <v>23953.599999999999</v>
      </c>
      <c r="H9" s="123">
        <f t="shared" si="2"/>
        <v>30831.919999999998</v>
      </c>
      <c r="I9" s="123">
        <f t="shared" si="2"/>
        <v>39356.339999999997</v>
      </c>
      <c r="J9" s="123">
        <f t="shared" si="2"/>
        <v>49359.96</v>
      </c>
      <c r="K9" s="123">
        <f t="shared" si="2"/>
        <v>56308.639999999999</v>
      </c>
      <c r="L9" s="123">
        <f t="shared" si="2"/>
        <v>56091.96</v>
      </c>
      <c r="M9" s="123">
        <f t="shared" si="2"/>
        <v>61498.73</v>
      </c>
      <c r="N9" s="123">
        <f t="shared" si="2"/>
        <v>74231.289999999994</v>
      </c>
      <c r="O9" s="123">
        <f t="shared" si="2"/>
        <v>111341.44</v>
      </c>
      <c r="P9" s="123">
        <f t="shared" si="2"/>
        <v>106812.28</v>
      </c>
      <c r="Q9" s="123">
        <f t="shared" si="2"/>
        <v>108036.85</v>
      </c>
      <c r="R9" s="123">
        <f t="shared" si="2"/>
        <v>100719.78</v>
      </c>
      <c r="S9" s="123">
        <f t="shared" si="2"/>
        <v>120872.01999999999</v>
      </c>
      <c r="T9" s="123">
        <f t="shared" si="2"/>
        <v>105521.23000000001</v>
      </c>
      <c r="U9" s="123">
        <f t="shared" si="2"/>
        <v>128787.70999999999</v>
      </c>
      <c r="V9" s="123">
        <f t="shared" si="2"/>
        <v>123842.54000000001</v>
      </c>
      <c r="W9" s="123">
        <f t="shared" si="2"/>
        <v>137490.04</v>
      </c>
      <c r="X9" s="123">
        <f t="shared" si="2"/>
        <v>148710.19</v>
      </c>
      <c r="Y9" s="123">
        <f t="shared" si="2"/>
        <v>141752.38999999998</v>
      </c>
      <c r="Z9" s="123">
        <f t="shared" si="2"/>
        <v>141335.79</v>
      </c>
      <c r="AA9" s="123">
        <f t="shared" si="2"/>
        <v>158260.17000000001</v>
      </c>
      <c r="AB9" s="123">
        <f t="shared" si="2"/>
        <v>249889.00999999998</v>
      </c>
      <c r="AC9" s="123">
        <f t="shared" si="2"/>
        <v>240448.56</v>
      </c>
      <c r="AD9" s="123">
        <f t="shared" si="2"/>
        <v>278614.69</v>
      </c>
      <c r="AE9" s="123">
        <f t="shared" si="2"/>
        <v>299018.81</v>
      </c>
      <c r="AF9" s="123">
        <f t="shared" si="2"/>
        <v>267086.33</v>
      </c>
      <c r="AG9" s="123">
        <f t="shared" si="2"/>
        <v>337682.35000000003</v>
      </c>
      <c r="AH9" s="123">
        <f t="shared" si="2"/>
        <v>321473.09999999998</v>
      </c>
      <c r="AI9" s="123">
        <f t="shared" si="2"/>
        <v>311782.74</v>
      </c>
      <c r="AJ9" s="123">
        <f t="shared" si="2"/>
        <v>382198.69</v>
      </c>
      <c r="AK9" s="123">
        <f t="shared" si="2"/>
        <v>342101.2</v>
      </c>
      <c r="AL9" s="123">
        <f t="shared" si="2"/>
        <v>410459.07</v>
      </c>
      <c r="AM9" s="123">
        <f t="shared" si="2"/>
        <v>379548.23</v>
      </c>
      <c r="AN9" s="123">
        <f t="shared" si="2"/>
        <v>640460.72000000009</v>
      </c>
      <c r="AO9" s="123">
        <f t="shared" si="2"/>
        <v>1039581.43</v>
      </c>
      <c r="AP9" s="123">
        <f t="shared" si="2"/>
        <v>1066513.7</v>
      </c>
      <c r="AQ9" s="123">
        <f t="shared" si="2"/>
        <v>1007206.96</v>
      </c>
      <c r="AR9" s="123">
        <f t="shared" si="2"/>
        <v>1180193.4099999999</v>
      </c>
      <c r="AS9" s="123">
        <f t="shared" si="2"/>
        <v>1585456.96</v>
      </c>
      <c r="AT9" s="123">
        <f t="shared" si="2"/>
        <v>1403007.8399999999</v>
      </c>
      <c r="AU9" s="123">
        <f t="shared" si="2"/>
        <v>1778082.3199999998</v>
      </c>
      <c r="AV9" s="123">
        <f t="shared" si="2"/>
        <v>1709951.8399999999</v>
      </c>
      <c r="AW9" s="123">
        <f t="shared" si="2"/>
        <v>1671671.17</v>
      </c>
      <c r="AX9" s="123">
        <f t="shared" si="2"/>
        <v>2054317.2399999998</v>
      </c>
      <c r="AY9" s="123">
        <f t="shared" si="2"/>
        <v>1878670.04</v>
      </c>
      <c r="AZ9" s="123">
        <f t="shared" si="2"/>
        <v>2076468.4</v>
      </c>
      <c r="BA9" s="123">
        <f t="shared" si="2"/>
        <v>2093672.2499999998</v>
      </c>
      <c r="BB9" s="123">
        <f t="shared" si="2"/>
        <v>2221483.98</v>
      </c>
      <c r="BC9" s="123">
        <f t="shared" si="2"/>
        <v>1961756.5099999998</v>
      </c>
      <c r="BD9" s="123">
        <f t="shared" si="2"/>
        <v>2290840.13</v>
      </c>
      <c r="BE9" s="123">
        <f t="shared" si="2"/>
        <v>2321415.2400000002</v>
      </c>
      <c r="BF9" s="123">
        <f t="shared" si="2"/>
        <v>1922666.7400000002</v>
      </c>
      <c r="BG9" s="123">
        <f t="shared" si="2"/>
        <v>2352916.25</v>
      </c>
      <c r="BH9" s="123">
        <f t="shared" si="2"/>
        <v>1732456.88</v>
      </c>
      <c r="BI9" s="123">
        <f t="shared" si="2"/>
        <v>2070298.46</v>
      </c>
      <c r="BJ9" s="123">
        <f t="shared" si="2"/>
        <v>2217435.3099999996</v>
      </c>
      <c r="BK9" s="123">
        <f t="shared" si="2"/>
        <v>2051272.11</v>
      </c>
      <c r="BL9" s="123">
        <f t="shared" si="2"/>
        <v>2593007.48</v>
      </c>
      <c r="BM9" s="123">
        <f t="shared" si="2"/>
        <v>2632005.6999999997</v>
      </c>
      <c r="BN9" s="123">
        <f t="shared" si="2"/>
        <v>2510433.3899999997</v>
      </c>
      <c r="BO9" s="394">
        <f t="shared" ref="BO9:CG9" si="3">SUM(BO7:BO8)</f>
        <v>2825774.75</v>
      </c>
      <c r="BP9" s="61">
        <f t="shared" si="3"/>
        <v>2826590.5909683201</v>
      </c>
      <c r="BQ9" s="61">
        <f t="shared" si="3"/>
        <v>2866277.0032010754</v>
      </c>
      <c r="BR9" s="61">
        <f t="shared" si="3"/>
        <v>2934326.404812865</v>
      </c>
      <c r="BS9" s="61">
        <f t="shared" si="3"/>
        <v>3027244.2142374171</v>
      </c>
      <c r="BT9" s="61">
        <f t="shared" si="3"/>
        <v>3142365.4472002853</v>
      </c>
      <c r="BU9" s="61">
        <f t="shared" si="3"/>
        <v>3277696.6381192012</v>
      </c>
      <c r="BV9" s="61">
        <f t="shared" si="3"/>
        <v>3397418.6550597195</v>
      </c>
      <c r="BW9" s="61">
        <f t="shared" si="3"/>
        <v>3504825.1887805988</v>
      </c>
      <c r="BX9" s="61">
        <f t="shared" si="3"/>
        <v>3602553.7697282946</v>
      </c>
      <c r="BY9" s="61">
        <f t="shared" si="3"/>
        <v>3692717.0387670086</v>
      </c>
      <c r="BZ9" s="61">
        <f t="shared" si="3"/>
        <v>3777007.7643427453</v>
      </c>
      <c r="CA9" s="61">
        <f t="shared" si="3"/>
        <v>3856782.856803271</v>
      </c>
      <c r="CB9" s="61">
        <f t="shared" si="3"/>
        <v>3933130.5804516277</v>
      </c>
      <c r="CC9" s="61">
        <f t="shared" si="3"/>
        <v>4006924.323795449</v>
      </c>
      <c r="CD9" s="61">
        <f t="shared" si="3"/>
        <v>4078865.6163620166</v>
      </c>
      <c r="CE9" s="61">
        <f t="shared" si="3"/>
        <v>4149518.5427751569</v>
      </c>
      <c r="CF9" s="61">
        <f t="shared" si="3"/>
        <v>4219337.27465095</v>
      </c>
      <c r="CG9" s="207">
        <f t="shared" si="3"/>
        <v>4288688.0967580499</v>
      </c>
      <c r="CH9" s="137"/>
    </row>
    <row r="10" spans="1:86" x14ac:dyDescent="0.3">
      <c r="A10" s="76" t="s">
        <v>21</v>
      </c>
      <c r="B10" s="180"/>
      <c r="C10" s="180"/>
      <c r="D10" s="180"/>
      <c r="E10" s="180"/>
      <c r="F10" s="180"/>
      <c r="G10" s="180"/>
      <c r="H10" s="180"/>
      <c r="I10" s="180"/>
      <c r="J10" s="180"/>
      <c r="K10" s="180"/>
      <c r="L10" s="180"/>
      <c r="M10" s="180"/>
      <c r="N10" s="180"/>
      <c r="O10" s="180"/>
      <c r="P10" s="180"/>
      <c r="Q10" s="180"/>
      <c r="R10" s="180"/>
      <c r="S10" s="180"/>
      <c r="T10" s="180"/>
      <c r="U10" s="180"/>
      <c r="V10" s="180"/>
      <c r="W10" s="180"/>
      <c r="X10" s="180"/>
      <c r="Y10" s="180"/>
      <c r="Z10" s="180"/>
      <c r="AA10" s="180"/>
      <c r="AB10" s="180"/>
      <c r="AC10" s="180"/>
      <c r="AD10" s="180"/>
      <c r="AE10" s="180"/>
      <c r="AF10" s="180"/>
      <c r="AG10" s="180"/>
      <c r="AH10" s="180"/>
      <c r="AI10" s="180"/>
      <c r="AJ10" s="180"/>
      <c r="AK10" s="180"/>
      <c r="AL10" s="180"/>
      <c r="AM10" s="180"/>
      <c r="AN10" s="180"/>
      <c r="AO10" s="180"/>
      <c r="AP10" s="180"/>
      <c r="AQ10" s="180"/>
      <c r="AR10" s="180"/>
      <c r="AS10" s="180"/>
      <c r="AT10" s="180"/>
      <c r="AU10" s="180"/>
      <c r="AV10" s="180"/>
      <c r="AW10" s="180"/>
      <c r="AX10" s="181"/>
      <c r="AY10" s="181"/>
      <c r="AZ10" s="181"/>
      <c r="BA10" s="181"/>
      <c r="BB10" s="181"/>
      <c r="BC10" s="181"/>
      <c r="BD10" s="181"/>
      <c r="BE10" s="181"/>
      <c r="BF10" s="181"/>
      <c r="BG10" s="181"/>
      <c r="BH10" s="181"/>
      <c r="BI10" s="181"/>
      <c r="BJ10" s="181"/>
      <c r="BK10" s="181"/>
      <c r="BL10" s="181"/>
      <c r="BM10" s="181"/>
      <c r="BN10" s="181"/>
      <c r="BO10" s="413"/>
      <c r="BP10" s="182"/>
      <c r="BQ10" s="182"/>
      <c r="BR10" s="182"/>
      <c r="BS10" s="182"/>
      <c r="BT10" s="182"/>
      <c r="BU10" s="182"/>
      <c r="BV10" s="182"/>
      <c r="BW10" s="182"/>
      <c r="BX10" s="182"/>
      <c r="BY10" s="182"/>
      <c r="BZ10" s="182"/>
      <c r="CA10" s="182"/>
      <c r="CB10" s="182"/>
      <c r="CC10" s="182"/>
      <c r="CD10" s="182"/>
      <c r="CE10" s="182"/>
      <c r="CF10" s="182"/>
      <c r="CG10" s="183"/>
      <c r="CH10" s="269"/>
    </row>
    <row r="11" spans="1:86" x14ac:dyDescent="0.3">
      <c r="A11" s="26" t="s">
        <v>35</v>
      </c>
      <c r="B11" s="23">
        <f>Analysis!D46</f>
        <v>3609.89</v>
      </c>
      <c r="C11" s="23">
        <f>Analysis!E46</f>
        <v>3537.63</v>
      </c>
      <c r="D11" s="23">
        <f>Analysis!F46</f>
        <v>3866.84</v>
      </c>
      <c r="E11" s="23">
        <f>Analysis!G46</f>
        <v>4344.43</v>
      </c>
      <c r="F11" s="23">
        <f>Analysis!H46</f>
        <v>5373.33</v>
      </c>
      <c r="G11" s="23">
        <f>Analysis!I46</f>
        <v>6788.74</v>
      </c>
      <c r="H11" s="23">
        <f>Analysis!J46</f>
        <v>5265.08</v>
      </c>
      <c r="I11" s="23">
        <f>Analysis!K46</f>
        <v>6519.54</v>
      </c>
      <c r="J11" s="23">
        <f>Analysis!L46</f>
        <v>6530.95</v>
      </c>
      <c r="K11" s="23">
        <f>Analysis!M46</f>
        <v>8697.58</v>
      </c>
      <c r="L11" s="23">
        <f>Analysis!N46</f>
        <v>10146.61</v>
      </c>
      <c r="M11" s="23">
        <f>Analysis!O46</f>
        <v>10888.81</v>
      </c>
      <c r="N11" s="23">
        <f>Analysis!P46</f>
        <v>14933.279999999999</v>
      </c>
      <c r="O11" s="23">
        <f>Analysis!Q46</f>
        <v>21996.79</v>
      </c>
      <c r="P11" s="23">
        <f>Analysis!R46</f>
        <v>19803.75</v>
      </c>
      <c r="Q11" s="23">
        <f>Analysis!S46</f>
        <v>21940.59</v>
      </c>
      <c r="R11" s="23">
        <f>Analysis!T46</f>
        <v>20859.71</v>
      </c>
      <c r="S11" s="23">
        <f>Analysis!U46</f>
        <v>24792.05</v>
      </c>
      <c r="T11" s="23">
        <f>Analysis!V46</f>
        <v>20243.019999999997</v>
      </c>
      <c r="U11" s="23">
        <f>Analysis!W46</f>
        <v>20926.480000000003</v>
      </c>
      <c r="V11" s="23">
        <f>Analysis!X46</f>
        <v>18864.409999999996</v>
      </c>
      <c r="W11" s="23">
        <f>Analysis!Y46</f>
        <v>43239.79</v>
      </c>
      <c r="X11" s="23">
        <f>Analysis!Z46</f>
        <v>26220.42</v>
      </c>
      <c r="Y11" s="23">
        <f>Analysis!AA46</f>
        <v>26477.489999999998</v>
      </c>
      <c r="Z11" s="23">
        <f>Analysis!AB46</f>
        <v>82688.159999999989</v>
      </c>
      <c r="AA11" s="23">
        <f>Analysis!AC46</f>
        <v>89699.860000000015</v>
      </c>
      <c r="AB11" s="23">
        <f>Analysis!AD46</f>
        <v>133507.13999999998</v>
      </c>
      <c r="AC11" s="23">
        <f>Analysis!AE46</f>
        <v>130283.77</v>
      </c>
      <c r="AD11" s="23">
        <f>Analysis!AF46</f>
        <v>144119.22</v>
      </c>
      <c r="AE11" s="23">
        <f>Analysis!AG46</f>
        <v>156875.96</v>
      </c>
      <c r="AF11" s="23">
        <f>Analysis!AH46</f>
        <v>138479.13</v>
      </c>
      <c r="AG11" s="23">
        <f>Analysis!AI46</f>
        <v>158077.51000000004</v>
      </c>
      <c r="AH11" s="23">
        <f>Analysis!AJ46</f>
        <v>180358.55</v>
      </c>
      <c r="AI11" s="23">
        <f>Analysis!AK46</f>
        <v>196423.79</v>
      </c>
      <c r="AJ11" s="23">
        <f>Analysis!AL46</f>
        <v>177970.38</v>
      </c>
      <c r="AK11" s="23">
        <f>Analysis!AM46</f>
        <v>200352.95</v>
      </c>
      <c r="AL11" s="23">
        <f>Analysis!AN46</f>
        <v>221415.95999999996</v>
      </c>
      <c r="AM11" s="23">
        <f>Analysis!AO46</f>
        <v>213350.05</v>
      </c>
      <c r="AN11" s="23">
        <f>Analysis!AP46</f>
        <v>516507.62</v>
      </c>
      <c r="AO11" s="23">
        <f>Analysis!AQ46</f>
        <v>507435.71</v>
      </c>
      <c r="AP11" s="23">
        <f>Analysis!AR46</f>
        <v>525772.30000000005</v>
      </c>
      <c r="AQ11" s="23">
        <f>Analysis!AS46</f>
        <v>572190.53999999992</v>
      </c>
      <c r="AR11" s="23">
        <f>Analysis!AT46</f>
        <v>622552.45000000007</v>
      </c>
      <c r="AS11" s="23">
        <f>Analysis!AU46</f>
        <v>819599.15999999992</v>
      </c>
      <c r="AT11" s="23">
        <f>Analysis!AV46</f>
        <v>821518.32</v>
      </c>
      <c r="AU11" s="23">
        <f>Analysis!AW46</f>
        <v>1064433.8399999999</v>
      </c>
      <c r="AV11" s="23">
        <f>Analysis!AX46</f>
        <v>1052208.54</v>
      </c>
      <c r="AW11" s="23">
        <f>Analysis!AY46</f>
        <v>1224555.4099999999</v>
      </c>
      <c r="AX11" s="23">
        <f>Analysis!AZ46</f>
        <v>1279660.8899999999</v>
      </c>
      <c r="AY11" s="23">
        <f>Analysis!BA46</f>
        <v>1159333.5200000003</v>
      </c>
      <c r="AZ11" s="23">
        <f>Analysis!BB46</f>
        <v>1259018.8499999999</v>
      </c>
      <c r="BA11" s="23">
        <f>Analysis!BC46</f>
        <v>1256033.3500000001</v>
      </c>
      <c r="BB11" s="23">
        <f>Analysis!BD46</f>
        <v>1238383.52</v>
      </c>
      <c r="BC11" s="23">
        <f>Analysis!BE46</f>
        <v>1211937.25</v>
      </c>
      <c r="BD11" s="23">
        <f>Analysis!BF46</f>
        <v>1282789.8800000001</v>
      </c>
      <c r="BE11" s="23">
        <f>Analysis!BG46</f>
        <v>1559731.62</v>
      </c>
      <c r="BF11" s="23">
        <f>Analysis!BH46</f>
        <v>1231106.1199999999</v>
      </c>
      <c r="BG11" s="23">
        <f>Analysis!BI46</f>
        <v>1225452.3</v>
      </c>
      <c r="BH11" s="23">
        <f>Analysis!BJ46</f>
        <v>1224916.0999999999</v>
      </c>
      <c r="BI11" s="23">
        <f>Analysis!BK46</f>
        <v>1485105.41</v>
      </c>
      <c r="BJ11" s="23">
        <f>Analysis!BL46</f>
        <v>1183684.1100000001</v>
      </c>
      <c r="BK11" s="23">
        <f>Analysis!BM46</f>
        <v>1328528.58</v>
      </c>
      <c r="BL11" s="23">
        <f>Analysis!BN46</f>
        <v>1366871.4799999997</v>
      </c>
      <c r="BM11" s="23">
        <f>Analysis!BO46</f>
        <v>1241629.44</v>
      </c>
      <c r="BN11" s="23">
        <f>Analysis!BP46</f>
        <v>1224296.1300000001</v>
      </c>
      <c r="BO11" s="396">
        <f>Analysis!BQ46</f>
        <v>1187491.6900000002</v>
      </c>
      <c r="BP11" s="67">
        <f>Analysis!BR46</f>
        <v>1639422.5427616262</v>
      </c>
      <c r="BQ11" s="67">
        <f>Analysis!BS46</f>
        <v>1662440.6618566238</v>
      </c>
      <c r="BR11" s="67">
        <f>Analysis!BT46</f>
        <v>1701909.3147914619</v>
      </c>
      <c r="BS11" s="67">
        <f>Analysis!BU46</f>
        <v>1755801.6442577019</v>
      </c>
      <c r="BT11" s="67">
        <f>Analysis!BV46</f>
        <v>1822571.9593761659</v>
      </c>
      <c r="BU11" s="67">
        <f>Analysis!BW46</f>
        <v>1901064.0501091373</v>
      </c>
      <c r="BV11" s="67">
        <f>Analysis!BX46</f>
        <v>1970502.8199346378</v>
      </c>
      <c r="BW11" s="67">
        <f>Analysis!BY46</f>
        <v>2032798.6094927478</v>
      </c>
      <c r="BX11" s="67">
        <f>Analysis!BZ46</f>
        <v>2089481.1864424113</v>
      </c>
      <c r="BY11" s="67">
        <f>Analysis!CA46</f>
        <v>2141775.8824848649</v>
      </c>
      <c r="BZ11" s="67">
        <f>Analysis!CB46</f>
        <v>2190664.5033187931</v>
      </c>
      <c r="CA11" s="67">
        <f>Analysis!CC46</f>
        <v>2236934.0569458976</v>
      </c>
      <c r="CB11" s="67">
        <f>Analysis!CD46</f>
        <v>2281215.736661945</v>
      </c>
      <c r="CC11" s="67">
        <f>Analysis!CE46</f>
        <v>2324016.107801361</v>
      </c>
      <c r="CD11" s="67">
        <f>Analysis!CF46</f>
        <v>2365742.0574899707</v>
      </c>
      <c r="CE11" s="67">
        <f>Analysis!CG46</f>
        <v>2406720.7548095919</v>
      </c>
      <c r="CF11" s="67">
        <f>Analysis!CH46</f>
        <v>2447215.6192975524</v>
      </c>
      <c r="CG11" s="191">
        <f>Analysis!CI46</f>
        <v>2487439.0961196702</v>
      </c>
      <c r="CH11" s="271"/>
    </row>
    <row r="12" spans="1:86" x14ac:dyDescent="0.3">
      <c r="A12" s="76" t="s">
        <v>256</v>
      </c>
      <c r="B12" s="180"/>
      <c r="C12" s="180"/>
      <c r="D12" s="180"/>
      <c r="E12" s="180"/>
      <c r="F12" s="180"/>
      <c r="G12" s="180"/>
      <c r="H12" s="180"/>
      <c r="I12" s="180"/>
      <c r="J12" s="180"/>
      <c r="K12" s="180"/>
      <c r="L12" s="180"/>
      <c r="M12" s="180"/>
      <c r="N12" s="180"/>
      <c r="O12" s="180"/>
      <c r="P12" s="180"/>
      <c r="Q12" s="180"/>
      <c r="R12" s="180"/>
      <c r="S12" s="180"/>
      <c r="T12" s="180"/>
      <c r="U12" s="180"/>
      <c r="V12" s="180"/>
      <c r="W12" s="180"/>
      <c r="X12" s="180"/>
      <c r="Y12" s="180"/>
      <c r="Z12" s="180"/>
      <c r="AA12" s="180"/>
      <c r="AB12" s="180"/>
      <c r="AC12" s="180"/>
      <c r="AD12" s="180"/>
      <c r="AE12" s="180"/>
      <c r="AF12" s="180"/>
      <c r="AG12" s="180"/>
      <c r="AH12" s="180"/>
      <c r="AI12" s="180"/>
      <c r="AJ12" s="180"/>
      <c r="AK12" s="180"/>
      <c r="AL12" s="180"/>
      <c r="AM12" s="180"/>
      <c r="AN12" s="180"/>
      <c r="AO12" s="180"/>
      <c r="AP12" s="180"/>
      <c r="AQ12" s="180"/>
      <c r="AR12" s="180"/>
      <c r="AS12" s="180"/>
      <c r="AT12" s="180"/>
      <c r="AU12" s="180"/>
      <c r="AV12" s="180"/>
      <c r="AW12" s="180"/>
      <c r="AX12" s="181"/>
      <c r="AY12" s="181"/>
      <c r="AZ12" s="181"/>
      <c r="BA12" s="181"/>
      <c r="BB12" s="181"/>
      <c r="BC12" s="181"/>
      <c r="BD12" s="181"/>
      <c r="BE12" s="181"/>
      <c r="BF12" s="181"/>
      <c r="BG12" s="181"/>
      <c r="BH12" s="181"/>
      <c r="BI12" s="181"/>
      <c r="BJ12" s="181"/>
      <c r="BK12" s="181"/>
      <c r="BL12" s="181"/>
      <c r="BM12" s="181"/>
      <c r="BN12" s="181"/>
      <c r="BO12" s="413"/>
      <c r="BP12" s="182"/>
      <c r="BQ12" s="182"/>
      <c r="BR12" s="182"/>
      <c r="BS12" s="182"/>
      <c r="BT12" s="182"/>
      <c r="BU12" s="182"/>
      <c r="BV12" s="182"/>
      <c r="BW12" s="182"/>
      <c r="BX12" s="182"/>
      <c r="BY12" s="182"/>
      <c r="BZ12" s="182"/>
      <c r="CA12" s="182"/>
      <c r="CB12" s="182"/>
      <c r="CC12" s="182"/>
      <c r="CD12" s="182"/>
      <c r="CE12" s="182"/>
      <c r="CF12" s="182"/>
      <c r="CG12" s="183"/>
      <c r="CH12" s="134"/>
    </row>
    <row r="13" spans="1:86" x14ac:dyDescent="0.3">
      <c r="A13" s="26" t="s">
        <v>36</v>
      </c>
      <c r="B13" s="78">
        <f>Analysis!D48</f>
        <v>15790.91</v>
      </c>
      <c r="C13" s="78">
        <f>Analysis!E48</f>
        <v>11073.91</v>
      </c>
      <c r="D13" s="78">
        <f>Analysis!F48</f>
        <v>12476.13</v>
      </c>
      <c r="E13" s="78">
        <f>Analysis!G48</f>
        <v>15576.869999999999</v>
      </c>
      <c r="F13" s="78">
        <f>Analysis!H48</f>
        <v>22916.46</v>
      </c>
      <c r="G13" s="78">
        <f>Analysis!I48</f>
        <v>17164.86</v>
      </c>
      <c r="H13" s="78">
        <f>Analysis!J48</f>
        <v>25566.839999999997</v>
      </c>
      <c r="I13" s="78">
        <f>Analysis!K48</f>
        <v>32836.799999999996</v>
      </c>
      <c r="J13" s="78">
        <f>Analysis!L48</f>
        <v>42829.01</v>
      </c>
      <c r="K13" s="78">
        <f>Analysis!M48</f>
        <v>47611.06</v>
      </c>
      <c r="L13" s="78">
        <f>Analysis!N48</f>
        <v>45945.35</v>
      </c>
      <c r="M13" s="78">
        <f>Analysis!O48</f>
        <v>50609.920000000006</v>
      </c>
      <c r="N13" s="78">
        <f>Analysis!P48</f>
        <v>59298.009999999995</v>
      </c>
      <c r="O13" s="78">
        <f>Analysis!Q48</f>
        <v>89344.65</v>
      </c>
      <c r="P13" s="78">
        <f>Analysis!R48</f>
        <v>87008.53</v>
      </c>
      <c r="Q13" s="78">
        <f>Analysis!S48</f>
        <v>86096.260000000009</v>
      </c>
      <c r="R13" s="78">
        <f>Analysis!T48</f>
        <v>79860.070000000007</v>
      </c>
      <c r="S13" s="78">
        <f>Analysis!U48</f>
        <v>96079.969999999987</v>
      </c>
      <c r="T13" s="78">
        <f>Analysis!V48</f>
        <v>85278.210000000021</v>
      </c>
      <c r="U13" s="78">
        <f>Analysis!W48</f>
        <v>107861.22999999998</v>
      </c>
      <c r="V13" s="78">
        <f>Analysis!X48</f>
        <v>104978.13</v>
      </c>
      <c r="W13" s="78">
        <f>Analysis!Y48</f>
        <v>94250.25</v>
      </c>
      <c r="X13" s="78">
        <f>Analysis!Z48</f>
        <v>122489.77</v>
      </c>
      <c r="Y13" s="78">
        <f>Analysis!AA48</f>
        <v>115274.9</v>
      </c>
      <c r="Z13" s="78">
        <f>Analysis!AB48</f>
        <v>58647.630000000019</v>
      </c>
      <c r="AA13" s="78">
        <f>Analysis!AC48</f>
        <v>68560.31</v>
      </c>
      <c r="AB13" s="78">
        <f>Analysis!AD48</f>
        <v>116381.87</v>
      </c>
      <c r="AC13" s="78">
        <f>Analysis!AE48</f>
        <v>110164.79</v>
      </c>
      <c r="AD13" s="78">
        <f>Analysis!AF48</f>
        <v>134495.47</v>
      </c>
      <c r="AE13" s="78">
        <f>Analysis!AG48</f>
        <v>142142.85</v>
      </c>
      <c r="AF13" s="78">
        <f>Analysis!AH48</f>
        <v>128607.20000000001</v>
      </c>
      <c r="AG13" s="78">
        <f>Analysis!AI48</f>
        <v>179604.84</v>
      </c>
      <c r="AH13" s="78">
        <f>Analysis!AJ48</f>
        <v>141114.54999999999</v>
      </c>
      <c r="AI13" s="78">
        <f>Analysis!AK48</f>
        <v>115358.94999999998</v>
      </c>
      <c r="AJ13" s="78">
        <f>Analysis!AL48</f>
        <v>204228.31</v>
      </c>
      <c r="AK13" s="78">
        <f>Analysis!AM48</f>
        <v>141748.25</v>
      </c>
      <c r="AL13" s="78">
        <f>Analysis!AN48</f>
        <v>189043.11000000004</v>
      </c>
      <c r="AM13" s="78">
        <f>Analysis!AO48</f>
        <v>166198.18</v>
      </c>
      <c r="AN13" s="78">
        <f>Analysis!AP48</f>
        <v>123953.10000000009</v>
      </c>
      <c r="AO13" s="78">
        <f>Analysis!AQ48</f>
        <v>532145.72</v>
      </c>
      <c r="AP13" s="78">
        <f>Analysis!AR48</f>
        <v>540741.39999999991</v>
      </c>
      <c r="AQ13" s="78">
        <f>Analysis!AS48</f>
        <v>435016.42000000004</v>
      </c>
      <c r="AR13" s="78">
        <f>Analysis!AT48</f>
        <v>557640.95999999985</v>
      </c>
      <c r="AS13" s="78">
        <f>Analysis!AU48</f>
        <v>765857.8</v>
      </c>
      <c r="AT13" s="78">
        <f>Analysis!AV48</f>
        <v>581489.5199999999</v>
      </c>
      <c r="AU13" s="78">
        <f>Analysis!AW48</f>
        <v>713648.48</v>
      </c>
      <c r="AV13" s="78">
        <f>Analysis!AX48</f>
        <v>657743.29999999981</v>
      </c>
      <c r="AW13" s="78">
        <f>Analysis!AY48</f>
        <v>447115.76</v>
      </c>
      <c r="AX13" s="78">
        <f>Analysis!AZ48</f>
        <v>774656.34999999986</v>
      </c>
      <c r="AY13" s="78">
        <f>Analysis!BA48</f>
        <v>719336.51999999979</v>
      </c>
      <c r="AZ13" s="78">
        <f>Analysis!BB48</f>
        <v>817449.55</v>
      </c>
      <c r="BA13" s="78">
        <f>Analysis!BC48</f>
        <v>837638.89999999967</v>
      </c>
      <c r="BB13" s="78">
        <f>Analysis!BD48</f>
        <v>983100.46</v>
      </c>
      <c r="BC13" s="78">
        <f>Analysis!BE48</f>
        <v>749819.25999999978</v>
      </c>
      <c r="BD13" s="78">
        <f>Analysis!BF48</f>
        <v>1008050.2499999998</v>
      </c>
      <c r="BE13" s="78">
        <f>Analysis!BG48</f>
        <v>761683.62000000011</v>
      </c>
      <c r="BF13" s="78">
        <f>Analysis!BH48</f>
        <v>691560.62000000034</v>
      </c>
      <c r="BG13" s="78">
        <f>Analysis!BI48</f>
        <v>1127463.95</v>
      </c>
      <c r="BH13" s="78">
        <f>Analysis!BJ48</f>
        <v>507540.78</v>
      </c>
      <c r="BI13" s="78">
        <f>Analysis!BK48</f>
        <v>585193.05000000005</v>
      </c>
      <c r="BJ13" s="78">
        <f>Analysis!BL48</f>
        <v>1033751.1999999995</v>
      </c>
      <c r="BK13" s="78">
        <f>Analysis!BM48</f>
        <v>722743.53</v>
      </c>
      <c r="BL13" s="78">
        <f>Analysis!BN48</f>
        <v>1226136.0000000002</v>
      </c>
      <c r="BM13" s="78">
        <f>Analysis!BO48</f>
        <v>1390376.2599999998</v>
      </c>
      <c r="BN13" s="78">
        <f>Analysis!BP48</f>
        <v>1286137.2599999995</v>
      </c>
      <c r="BO13" s="398">
        <f>Analysis!BQ48</f>
        <v>1638283.0599999998</v>
      </c>
      <c r="BP13" s="79">
        <f>Analysis!BR48</f>
        <v>1187168.0482066947</v>
      </c>
      <c r="BQ13" s="79">
        <f>Analysis!BS48</f>
        <v>1203836.3413444518</v>
      </c>
      <c r="BR13" s="79">
        <f>Analysis!BT48</f>
        <v>1232417.0900214035</v>
      </c>
      <c r="BS13" s="79">
        <f>Analysis!BU48</f>
        <v>1271442.5699797152</v>
      </c>
      <c r="BT13" s="79">
        <f>Analysis!BV48</f>
        <v>1319793.4878241201</v>
      </c>
      <c r="BU13" s="79">
        <f>Analysis!BW48</f>
        <v>1376632.5880100648</v>
      </c>
      <c r="BV13" s="79">
        <f>Analysis!BX48</f>
        <v>1426915.8351250824</v>
      </c>
      <c r="BW13" s="79">
        <f>Analysis!BY48</f>
        <v>1472026.5792878517</v>
      </c>
      <c r="BX13" s="79">
        <f>Analysis!BZ48</f>
        <v>1513072.583285884</v>
      </c>
      <c r="BY13" s="79">
        <f>Analysis!CA48</f>
        <v>1550941.1562821437</v>
      </c>
      <c r="BZ13" s="79">
        <f>Analysis!CB48</f>
        <v>1586343.2610239533</v>
      </c>
      <c r="CA13" s="79">
        <f>Analysis!CC48</f>
        <v>1619848.799857374</v>
      </c>
      <c r="CB13" s="79">
        <f>Analysis!CD48</f>
        <v>1651914.8437896841</v>
      </c>
      <c r="CC13" s="79">
        <f>Analysis!CE48</f>
        <v>1682908.2159940889</v>
      </c>
      <c r="CD13" s="79">
        <f>Analysis!CF48</f>
        <v>1713123.5588720478</v>
      </c>
      <c r="CE13" s="79">
        <f>Analysis!CG48</f>
        <v>1742797.7879655664</v>
      </c>
      <c r="CF13" s="79">
        <f>Analysis!CH48</f>
        <v>1772121.6553534002</v>
      </c>
      <c r="CG13" s="175">
        <f>Analysis!CI48</f>
        <v>1801249.0006383816</v>
      </c>
      <c r="CH13" s="139"/>
    </row>
    <row r="14" spans="1:86" x14ac:dyDescent="0.3">
      <c r="A14" s="26" t="s">
        <v>244</v>
      </c>
      <c r="B14" s="208">
        <f t="shared" ref="B14:AG14" si="4">B13/B9</f>
        <v>0.81393086883015131</v>
      </c>
      <c r="C14" s="208">
        <f t="shared" si="4"/>
        <v>0.75788794336531262</v>
      </c>
      <c r="D14" s="208">
        <f t="shared" si="4"/>
        <v>0.76339429124571601</v>
      </c>
      <c r="E14" s="208">
        <f t="shared" si="4"/>
        <v>0.78192035660323367</v>
      </c>
      <c r="F14" s="208">
        <f t="shared" si="4"/>
        <v>0.81006115633944253</v>
      </c>
      <c r="G14" s="208">
        <f t="shared" si="4"/>
        <v>0.71658790327967414</v>
      </c>
      <c r="H14" s="208">
        <f t="shared" si="4"/>
        <v>0.82923282105039187</v>
      </c>
      <c r="I14" s="208">
        <f t="shared" si="4"/>
        <v>0.83434587667450777</v>
      </c>
      <c r="J14" s="208">
        <f t="shared" si="4"/>
        <v>0.86768729148078727</v>
      </c>
      <c r="K14" s="208">
        <f t="shared" si="4"/>
        <v>0.84553738111948717</v>
      </c>
      <c r="L14" s="208">
        <f t="shared" si="4"/>
        <v>0.81910758689837182</v>
      </c>
      <c r="M14" s="208">
        <f t="shared" si="4"/>
        <v>0.82294252255290479</v>
      </c>
      <c r="N14" s="208">
        <f t="shared" si="4"/>
        <v>0.79882769112593899</v>
      </c>
      <c r="O14" s="208">
        <f t="shared" si="4"/>
        <v>0.80243842723787295</v>
      </c>
      <c r="P14" s="208">
        <f t="shared" si="4"/>
        <v>0.81459294755247247</v>
      </c>
      <c r="Q14" s="208">
        <f t="shared" si="4"/>
        <v>0.79691568201035112</v>
      </c>
      <c r="R14" s="208">
        <f t="shared" si="4"/>
        <v>0.79289361037126971</v>
      </c>
      <c r="S14" s="208">
        <f t="shared" si="4"/>
        <v>0.79489008291579799</v>
      </c>
      <c r="T14" s="208">
        <f t="shared" si="4"/>
        <v>0.80816163723641221</v>
      </c>
      <c r="U14" s="208">
        <f t="shared" si="4"/>
        <v>0.83751182469196783</v>
      </c>
      <c r="V14" s="208">
        <f t="shared" si="4"/>
        <v>0.84767423213380477</v>
      </c>
      <c r="W14" s="208">
        <f t="shared" si="4"/>
        <v>0.68550601919964527</v>
      </c>
      <c r="X14" s="208">
        <f t="shared" si="4"/>
        <v>0.8236810806307221</v>
      </c>
      <c r="Y14" s="208">
        <f t="shared" si="4"/>
        <v>0.81321309644232453</v>
      </c>
      <c r="Z14" s="208">
        <f t="shared" si="4"/>
        <v>0.41495243349189909</v>
      </c>
      <c r="AA14" s="208">
        <f t="shared" si="4"/>
        <v>0.43321266494279637</v>
      </c>
      <c r="AB14" s="208">
        <f t="shared" si="4"/>
        <v>0.46573424737646529</v>
      </c>
      <c r="AC14" s="208">
        <f t="shared" si="4"/>
        <v>0.45816365047060376</v>
      </c>
      <c r="AD14" s="208">
        <f t="shared" si="4"/>
        <v>0.48272928466191067</v>
      </c>
      <c r="AE14" s="208">
        <f t="shared" si="4"/>
        <v>0.47536424213580414</v>
      </c>
      <c r="AF14" s="208">
        <f t="shared" si="4"/>
        <v>0.48151921515414137</v>
      </c>
      <c r="AG14" s="208">
        <f t="shared" si="4"/>
        <v>0.53187511873214566</v>
      </c>
      <c r="AH14" s="208">
        <f t="shared" ref="AH14:BM14" si="5">AH13/AH9</f>
        <v>0.43896223354302427</v>
      </c>
      <c r="AI14" s="208">
        <f t="shared" si="5"/>
        <v>0.36999787095334397</v>
      </c>
      <c r="AJ14" s="208">
        <f t="shared" si="5"/>
        <v>0.53435115122974386</v>
      </c>
      <c r="AK14" s="208">
        <f t="shared" si="5"/>
        <v>0.41434595961662807</v>
      </c>
      <c r="AL14" s="208">
        <f t="shared" si="5"/>
        <v>0.46056506925282475</v>
      </c>
      <c r="AM14" s="208">
        <f t="shared" si="5"/>
        <v>0.43788421829815938</v>
      </c>
      <c r="AN14" s="208">
        <f t="shared" si="5"/>
        <v>0.19353739601704234</v>
      </c>
      <c r="AO14" s="208">
        <f t="shared" si="5"/>
        <v>0.51188459570694711</v>
      </c>
      <c r="AP14" s="208">
        <f t="shared" si="5"/>
        <v>0.50701777201736831</v>
      </c>
      <c r="AQ14" s="208">
        <f t="shared" si="5"/>
        <v>0.43190370725794036</v>
      </c>
      <c r="AR14" s="208">
        <f t="shared" si="5"/>
        <v>0.47249963885156748</v>
      </c>
      <c r="AS14" s="208">
        <f t="shared" si="5"/>
        <v>0.48305177581105707</v>
      </c>
      <c r="AT14" s="208">
        <f t="shared" si="5"/>
        <v>0.41445920929422603</v>
      </c>
      <c r="AU14" s="208">
        <f t="shared" si="5"/>
        <v>0.40135851527954008</v>
      </c>
      <c r="AV14" s="208">
        <f t="shared" si="5"/>
        <v>0.38465603803204179</v>
      </c>
      <c r="AW14" s="208">
        <f t="shared" si="5"/>
        <v>0.26746633430305555</v>
      </c>
      <c r="AX14" s="208">
        <f t="shared" si="5"/>
        <v>0.37708701213060936</v>
      </c>
      <c r="AY14" s="208">
        <f t="shared" si="5"/>
        <v>0.38289667939772959</v>
      </c>
      <c r="AZ14" s="208">
        <f t="shared" si="5"/>
        <v>0.39367300268089805</v>
      </c>
      <c r="BA14" s="208">
        <f t="shared" si="5"/>
        <v>0.40008119704504835</v>
      </c>
      <c r="BB14" s="208">
        <f t="shared" si="5"/>
        <v>0.44254222350952988</v>
      </c>
      <c r="BC14" s="208">
        <f t="shared" si="5"/>
        <v>0.38221831107877902</v>
      </c>
      <c r="BD14" s="208">
        <f t="shared" si="5"/>
        <v>0.44003518045582685</v>
      </c>
      <c r="BE14" s="208">
        <f t="shared" si="5"/>
        <v>0.328111751346993</v>
      </c>
      <c r="BF14" s="208">
        <f t="shared" si="5"/>
        <v>0.35968824217555262</v>
      </c>
      <c r="BG14" s="208">
        <f t="shared" si="5"/>
        <v>0.47917725503404551</v>
      </c>
      <c r="BH14" s="208">
        <f t="shared" si="5"/>
        <v>0.29296012262077198</v>
      </c>
      <c r="BI14" s="208">
        <f t="shared" si="5"/>
        <v>0.28266120141923889</v>
      </c>
      <c r="BJ14" s="208">
        <f t="shared" si="5"/>
        <v>0.46619226966309996</v>
      </c>
      <c r="BK14" s="208">
        <f t="shared" si="5"/>
        <v>0.35233917844278589</v>
      </c>
      <c r="BL14" s="208">
        <f t="shared" si="5"/>
        <v>0.47286250018839138</v>
      </c>
      <c r="BM14" s="208">
        <f t="shared" si="5"/>
        <v>0.52825731342451121</v>
      </c>
      <c r="BN14" s="208">
        <f t="shared" ref="BN14:CG14" si="6">BN13/BN9</f>
        <v>0.51231682351070051</v>
      </c>
      <c r="BO14" s="414">
        <f t="shared" si="6"/>
        <v>0.57976420802825834</v>
      </c>
      <c r="BP14" s="209">
        <f t="shared" si="6"/>
        <v>0.4200000000000001</v>
      </c>
      <c r="BQ14" s="209">
        <f t="shared" si="6"/>
        <v>0.42000000000000004</v>
      </c>
      <c r="BR14" s="209">
        <f t="shared" si="6"/>
        <v>0.4200000000000001</v>
      </c>
      <c r="BS14" s="209">
        <f t="shared" si="6"/>
        <v>0.42</v>
      </c>
      <c r="BT14" s="209">
        <f t="shared" si="6"/>
        <v>0.4200000000000001</v>
      </c>
      <c r="BU14" s="209">
        <f t="shared" si="6"/>
        <v>0.4200000000000001</v>
      </c>
      <c r="BV14" s="209">
        <f t="shared" si="6"/>
        <v>0.4200000000000001</v>
      </c>
      <c r="BW14" s="209">
        <f t="shared" si="6"/>
        <v>0.42000000000000004</v>
      </c>
      <c r="BX14" s="209">
        <f t="shared" si="6"/>
        <v>0.4200000000000001</v>
      </c>
      <c r="BY14" s="209">
        <f t="shared" si="6"/>
        <v>0.42000000000000004</v>
      </c>
      <c r="BZ14" s="209">
        <f t="shared" si="6"/>
        <v>0.4200000000000001</v>
      </c>
      <c r="CA14" s="209">
        <f t="shared" si="6"/>
        <v>0.42000000000000004</v>
      </c>
      <c r="CB14" s="209">
        <f t="shared" si="6"/>
        <v>0.4200000000000001</v>
      </c>
      <c r="CC14" s="209">
        <f t="shared" si="6"/>
        <v>0.4200000000000001</v>
      </c>
      <c r="CD14" s="209">
        <f t="shared" si="6"/>
        <v>0.42000000000000021</v>
      </c>
      <c r="CE14" s="209">
        <f t="shared" si="6"/>
        <v>0.4200000000000001</v>
      </c>
      <c r="CF14" s="209">
        <f t="shared" si="6"/>
        <v>0.42000000000000026</v>
      </c>
      <c r="CG14" s="210">
        <f t="shared" si="6"/>
        <v>0.42000000000000015</v>
      </c>
      <c r="CH14" s="139"/>
    </row>
    <row r="15" spans="1:86" x14ac:dyDescent="0.3">
      <c r="A15" s="84" t="s">
        <v>37</v>
      </c>
      <c r="B15" s="186"/>
      <c r="C15" s="186"/>
      <c r="D15" s="186"/>
      <c r="E15" s="186"/>
      <c r="F15" s="186"/>
      <c r="G15" s="186"/>
      <c r="H15" s="186"/>
      <c r="I15" s="186"/>
      <c r="J15" s="186"/>
      <c r="K15" s="186"/>
      <c r="L15" s="186"/>
      <c r="M15" s="186"/>
      <c r="N15" s="186"/>
      <c r="O15" s="186"/>
      <c r="P15" s="186"/>
      <c r="Q15" s="186"/>
      <c r="R15" s="186"/>
      <c r="S15" s="186"/>
      <c r="T15" s="186"/>
      <c r="U15" s="186"/>
      <c r="V15" s="186"/>
      <c r="W15" s="186"/>
      <c r="X15" s="186"/>
      <c r="Y15" s="186"/>
      <c r="Z15" s="186"/>
      <c r="AA15" s="186"/>
      <c r="AB15" s="186"/>
      <c r="AC15" s="186"/>
      <c r="AD15" s="186"/>
      <c r="AE15" s="186"/>
      <c r="AF15" s="186"/>
      <c r="AG15" s="186"/>
      <c r="AH15" s="186"/>
      <c r="AI15" s="186"/>
      <c r="AJ15" s="186"/>
      <c r="AK15" s="186"/>
      <c r="AL15" s="186"/>
      <c r="AM15" s="186"/>
      <c r="AN15" s="186"/>
      <c r="AO15" s="186"/>
      <c r="AP15" s="186"/>
      <c r="AQ15" s="186"/>
      <c r="AR15" s="186"/>
      <c r="AS15" s="186"/>
      <c r="AT15" s="186"/>
      <c r="AU15" s="186"/>
      <c r="AV15" s="186"/>
      <c r="AW15" s="186"/>
      <c r="AX15" s="186"/>
      <c r="AY15" s="186"/>
      <c r="AZ15" s="186"/>
      <c r="BA15" s="186"/>
      <c r="BB15" s="186"/>
      <c r="BC15" s="186"/>
      <c r="BD15" s="186"/>
      <c r="BE15" s="186"/>
      <c r="BF15" s="186"/>
      <c r="BG15" s="186"/>
      <c r="BH15" s="186"/>
      <c r="BI15" s="186"/>
      <c r="BJ15" s="186"/>
      <c r="BK15" s="186"/>
      <c r="BL15" s="186"/>
      <c r="BM15" s="186"/>
      <c r="BN15" s="186"/>
      <c r="BO15" s="415"/>
      <c r="BP15" s="187"/>
      <c r="BQ15" s="187"/>
      <c r="BR15" s="187"/>
      <c r="BS15" s="187"/>
      <c r="BT15" s="187"/>
      <c r="BU15" s="187"/>
      <c r="BV15" s="187"/>
      <c r="BW15" s="187"/>
      <c r="BX15" s="187"/>
      <c r="BY15" s="187"/>
      <c r="BZ15" s="187"/>
      <c r="CA15" s="187"/>
      <c r="CB15" s="187"/>
      <c r="CC15" s="187"/>
      <c r="CD15" s="187"/>
      <c r="CE15" s="187"/>
      <c r="CF15" s="187"/>
      <c r="CG15" s="188"/>
      <c r="CH15" s="134"/>
    </row>
    <row r="16" spans="1:86" x14ac:dyDescent="0.3">
      <c r="A16" s="26" t="s">
        <v>69</v>
      </c>
      <c r="B16" s="206">
        <f>Analysis!D91</f>
        <v>2748.2299999999996</v>
      </c>
      <c r="C16" s="206">
        <f>Analysis!E91</f>
        <v>2960.74</v>
      </c>
      <c r="D16" s="206">
        <f>Analysis!F91</f>
        <v>4562.79</v>
      </c>
      <c r="E16" s="206">
        <f>Analysis!G91</f>
        <v>4158.55</v>
      </c>
      <c r="F16" s="206">
        <f>Analysis!H91</f>
        <v>4290.8399999999992</v>
      </c>
      <c r="G16" s="206">
        <f>Analysis!I91</f>
        <v>4293.84</v>
      </c>
      <c r="H16" s="206">
        <f>Analysis!J91</f>
        <v>3158.9100000000003</v>
      </c>
      <c r="I16" s="206">
        <f>Analysis!K91</f>
        <v>4958.0199999999995</v>
      </c>
      <c r="J16" s="206">
        <f>Analysis!L91</f>
        <v>2062.06</v>
      </c>
      <c r="K16" s="206">
        <f>Analysis!M91</f>
        <v>4191.18</v>
      </c>
      <c r="L16" s="206">
        <f>Analysis!N91</f>
        <v>3485.8100000000004</v>
      </c>
      <c r="M16" s="206">
        <f>Analysis!O91</f>
        <v>4701.1200000000008</v>
      </c>
      <c r="N16" s="206">
        <f>Analysis!P91</f>
        <v>5490.5</v>
      </c>
      <c r="O16" s="206">
        <f>Analysis!Q91</f>
        <v>7493.0900000000011</v>
      </c>
      <c r="P16" s="206">
        <f>Analysis!R91</f>
        <v>6209.68</v>
      </c>
      <c r="Q16" s="206">
        <f>Analysis!S91</f>
        <v>7294.9299999999994</v>
      </c>
      <c r="R16" s="206">
        <f>Analysis!T91</f>
        <v>5820.11</v>
      </c>
      <c r="S16" s="206">
        <f>Analysis!U91</f>
        <v>6003.7900000000009</v>
      </c>
      <c r="T16" s="206">
        <f>Analysis!V91</f>
        <v>9036.909999999998</v>
      </c>
      <c r="U16" s="206">
        <f>Analysis!W91</f>
        <v>5147.82</v>
      </c>
      <c r="V16" s="206">
        <f>Analysis!X91</f>
        <v>9673.090000000002</v>
      </c>
      <c r="W16" s="206">
        <f>Analysis!Y91</f>
        <v>7420.14</v>
      </c>
      <c r="X16" s="206">
        <f>Analysis!Z91</f>
        <v>7715.39</v>
      </c>
      <c r="Y16" s="206">
        <f>Analysis!AA91</f>
        <v>6510.7000000000007</v>
      </c>
      <c r="Z16" s="206">
        <f>Analysis!AB91</f>
        <v>5451.08</v>
      </c>
      <c r="AA16" s="206">
        <f>Analysis!AC91</f>
        <v>6753.37</v>
      </c>
      <c r="AB16" s="206">
        <f>Analysis!AD91</f>
        <v>14344.900000000001</v>
      </c>
      <c r="AC16" s="206">
        <f>Analysis!AE91</f>
        <v>15355.759999999998</v>
      </c>
      <c r="AD16" s="206">
        <f>Analysis!AF91</f>
        <v>13642.510000000002</v>
      </c>
      <c r="AE16" s="206">
        <f>Analysis!AG91</f>
        <v>13676.79</v>
      </c>
      <c r="AF16" s="206">
        <f>Analysis!AH91</f>
        <v>14058.53</v>
      </c>
      <c r="AG16" s="206">
        <f>Analysis!AI91</f>
        <v>23137.989999999998</v>
      </c>
      <c r="AH16" s="206">
        <f>Analysis!AJ91</f>
        <v>15015.47</v>
      </c>
      <c r="AI16" s="206">
        <f>Analysis!AK91</f>
        <v>19642.86</v>
      </c>
      <c r="AJ16" s="206">
        <f>Analysis!AL91</f>
        <v>7518.7199999999993</v>
      </c>
      <c r="AK16" s="206">
        <f>Analysis!AM91</f>
        <v>14272.65</v>
      </c>
      <c r="AL16" s="206">
        <f>Analysis!AN91</f>
        <v>12227.95</v>
      </c>
      <c r="AM16" s="206">
        <f>Analysis!AO91</f>
        <v>17516.47</v>
      </c>
      <c r="AN16" s="206">
        <f>Analysis!AP91</f>
        <v>37352.31</v>
      </c>
      <c r="AO16" s="206">
        <f>Analysis!AQ91</f>
        <v>31111.91</v>
      </c>
      <c r="AP16" s="206">
        <f>Analysis!AR91</f>
        <v>37264.58</v>
      </c>
      <c r="AQ16" s="206">
        <f>Analysis!AS91</f>
        <v>32732.35</v>
      </c>
      <c r="AR16" s="206">
        <f>Analysis!AT91</f>
        <v>55275.82</v>
      </c>
      <c r="AS16" s="206">
        <f>Analysis!AU91</f>
        <v>77143.66</v>
      </c>
      <c r="AT16" s="206">
        <f>Analysis!AV91</f>
        <v>54512.630000000005</v>
      </c>
      <c r="AU16" s="206">
        <f>Analysis!AW91</f>
        <v>54526.869999999995</v>
      </c>
      <c r="AV16" s="206">
        <f>Analysis!AX91</f>
        <v>62348.55000000001</v>
      </c>
      <c r="AW16" s="206">
        <f>Analysis!AY91</f>
        <v>49347.85</v>
      </c>
      <c r="AX16" s="206">
        <f>Analysis!AZ91</f>
        <v>56550.360000000008</v>
      </c>
      <c r="AY16" s="206">
        <f>Analysis!BA91</f>
        <v>51604.430000000008</v>
      </c>
      <c r="AZ16" s="206">
        <f>Analysis!BB91</f>
        <v>66961.549999999988</v>
      </c>
      <c r="BA16" s="206">
        <f>Analysis!BC91</f>
        <v>81043.720000000016</v>
      </c>
      <c r="BB16" s="206">
        <f>Analysis!BD91</f>
        <v>72569.179999999993</v>
      </c>
      <c r="BC16" s="206">
        <f>Analysis!BE91</f>
        <v>63747.619999999995</v>
      </c>
      <c r="BD16" s="206">
        <f>Analysis!BF91</f>
        <v>77761.72</v>
      </c>
      <c r="BE16" s="206">
        <f>Analysis!BG91</f>
        <v>62673.290000000008</v>
      </c>
      <c r="BF16" s="206">
        <f>Analysis!BH91</f>
        <v>90691.87</v>
      </c>
      <c r="BG16" s="206">
        <f>Analysis!BI91</f>
        <v>72012.639999999999</v>
      </c>
      <c r="BH16" s="206">
        <f>Analysis!BJ91</f>
        <v>74460.939999999988</v>
      </c>
      <c r="BI16" s="206">
        <f>Analysis!BK91</f>
        <v>78499.160000000018</v>
      </c>
      <c r="BJ16" s="206">
        <f>Analysis!BL91</f>
        <v>66106.61</v>
      </c>
      <c r="BK16" s="206">
        <f>Analysis!BM91</f>
        <v>82470.37000000001</v>
      </c>
      <c r="BL16" s="206">
        <f>Analysis!BN91</f>
        <v>127605.4</v>
      </c>
      <c r="BM16" s="206">
        <f>Analysis!BO91</f>
        <v>111166.77999999998</v>
      </c>
      <c r="BN16" s="206">
        <f>Analysis!BP91</f>
        <v>87723.3</v>
      </c>
      <c r="BO16" s="411">
        <f>Analysis!BQ91</f>
        <v>137714.59</v>
      </c>
      <c r="BP16" s="64">
        <f>Analysis!BR91</f>
        <v>87301.84087917491</v>
      </c>
      <c r="BQ16" s="64">
        <f>Analysis!BS91</f>
        <v>88444.057901658118</v>
      </c>
      <c r="BR16" s="64">
        <f>Analysis!BT91</f>
        <v>90386.437658899842</v>
      </c>
      <c r="BS16" s="64">
        <f>Analysis!BU91</f>
        <v>93030.40132538577</v>
      </c>
      <c r="BT16" s="64">
        <f>Analysis!BV91</f>
        <v>96300.772276049916</v>
      </c>
      <c r="BU16" s="64">
        <f>Analysis!BW91</f>
        <v>100141.31682994189</v>
      </c>
      <c r="BV16" s="64">
        <f>Analysis!BX91</f>
        <v>103541.60942189254</v>
      </c>
      <c r="BW16" s="64">
        <f>Analysis!BY91</f>
        <v>106594.56233791375</v>
      </c>
      <c r="BX16" s="64">
        <f>Analysis!BZ91</f>
        <v>109374.5781673376</v>
      </c>
      <c r="BY16" s="64">
        <f>Analysis!CA91</f>
        <v>111941.25283305647</v>
      </c>
      <c r="BZ16" s="64">
        <f>Analysis!CB91</f>
        <v>114342.33803207723</v>
      </c>
      <c r="CA16" s="64">
        <f>Analysis!CC91</f>
        <v>116616.11120457204</v>
      </c>
      <c r="CB16" s="64">
        <f>Analysis!CD91</f>
        <v>118793.27152597567</v>
      </c>
      <c r="CC16" s="64">
        <f>Analysis!CE91</f>
        <v>120898.45671777264</v>
      </c>
      <c r="CD16" s="64">
        <f>Analysis!CF91</f>
        <v>122951.45651349312</v>
      </c>
      <c r="CE16" s="64">
        <f>Analysis!CG91</f>
        <v>124968.18344913609</v>
      </c>
      <c r="CF16" s="64">
        <f>Analysis!CH91</f>
        <v>126961.44951339901</v>
      </c>
      <c r="CG16" s="124">
        <f>Analysis!CI91</f>
        <v>128941.58748602068</v>
      </c>
      <c r="CH16" s="139"/>
    </row>
    <row r="17" spans="1:86" x14ac:dyDescent="0.3">
      <c r="A17" s="26" t="s">
        <v>82</v>
      </c>
      <c r="B17" s="206">
        <f>SUM(Analysis!D96:D97)</f>
        <v>538.55999999999995</v>
      </c>
      <c r="C17" s="206">
        <f>SUM(Analysis!E96:E97)</f>
        <v>1140.57</v>
      </c>
      <c r="D17" s="206">
        <f>SUM(Analysis!F96:F97)</f>
        <v>3690.73</v>
      </c>
      <c r="E17" s="206">
        <f>SUM(Analysis!G96:G97)</f>
        <v>1882.69</v>
      </c>
      <c r="F17" s="206">
        <f>SUM(Analysis!H96:H97)</f>
        <v>2419.65</v>
      </c>
      <c r="G17" s="206">
        <f>SUM(Analysis!I96:I97)</f>
        <v>4548.2</v>
      </c>
      <c r="H17" s="206">
        <f>SUM(Analysis!J96:J97)</f>
        <v>4124.1499999999996</v>
      </c>
      <c r="I17" s="206">
        <f>SUM(Analysis!K96:K97)</f>
        <v>7221.1</v>
      </c>
      <c r="J17" s="206">
        <f>SUM(Analysis!L96:L97)</f>
        <v>5749.24</v>
      </c>
      <c r="K17" s="206">
        <f>SUM(Analysis!M96:M97)</f>
        <v>7933.53</v>
      </c>
      <c r="L17" s="206">
        <f>SUM(Analysis!N96:N97)</f>
        <v>11612.88</v>
      </c>
      <c r="M17" s="206">
        <f>SUM(Analysis!O96:O97)</f>
        <v>5728.65</v>
      </c>
      <c r="N17" s="206">
        <f>Analysis!P112</f>
        <v>13227.08</v>
      </c>
      <c r="O17" s="206">
        <f>Analysis!Q112</f>
        <v>10908.060000000001</v>
      </c>
      <c r="P17" s="206">
        <f>Analysis!R112</f>
        <v>9786.74</v>
      </c>
      <c r="Q17" s="206">
        <f>Analysis!S112</f>
        <v>11912.71</v>
      </c>
      <c r="R17" s="206">
        <f>Analysis!T112</f>
        <v>19391.599999999999</v>
      </c>
      <c r="S17" s="206">
        <f>Analysis!U112</f>
        <v>17253.560000000001</v>
      </c>
      <c r="T17" s="206">
        <f>Analysis!V112</f>
        <v>17821.600000000002</v>
      </c>
      <c r="U17" s="206">
        <f>Analysis!W112</f>
        <v>37775.74</v>
      </c>
      <c r="V17" s="206">
        <f>Analysis!X112</f>
        <v>43269.799999999996</v>
      </c>
      <c r="W17" s="206">
        <f>Analysis!Y112</f>
        <v>35464.82</v>
      </c>
      <c r="X17" s="206">
        <f>Analysis!Z112</f>
        <v>32875.4</v>
      </c>
      <c r="Y17" s="206">
        <f>Analysis!AA112</f>
        <v>31089.71</v>
      </c>
      <c r="Z17" s="206">
        <f>Analysis!AB112</f>
        <v>58190.080000000002</v>
      </c>
      <c r="AA17" s="206">
        <f>Analysis!AC112</f>
        <v>44025.36</v>
      </c>
      <c r="AB17" s="206">
        <f>Analysis!AD112</f>
        <v>51541.73</v>
      </c>
      <c r="AC17" s="206">
        <f>Analysis!AE112</f>
        <v>47307.079999999994</v>
      </c>
      <c r="AD17" s="206">
        <f>Analysis!AF112</f>
        <v>53774.630000000005</v>
      </c>
      <c r="AE17" s="206">
        <f>Analysis!AG112</f>
        <v>52991.38</v>
      </c>
      <c r="AF17" s="206">
        <f>Analysis!AH112</f>
        <v>66099.42</v>
      </c>
      <c r="AG17" s="206">
        <f>Analysis!AI112</f>
        <v>83305.53</v>
      </c>
      <c r="AH17" s="206">
        <f>Analysis!AJ112</f>
        <v>84358.060000000027</v>
      </c>
      <c r="AI17" s="206">
        <f>Analysis!AK112</f>
        <v>85427.499999999985</v>
      </c>
      <c r="AJ17" s="206">
        <f>Analysis!AL112</f>
        <v>90380.38</v>
      </c>
      <c r="AK17" s="206">
        <f>Analysis!AM112</f>
        <v>88824.65</v>
      </c>
      <c r="AL17" s="206">
        <f>Analysis!AN112</f>
        <v>131360.99</v>
      </c>
      <c r="AM17" s="206">
        <f>Analysis!AO112</f>
        <v>193337.21000000002</v>
      </c>
      <c r="AN17" s="206">
        <f>Analysis!AP112</f>
        <v>236002.04</v>
      </c>
      <c r="AO17" s="206">
        <f>Analysis!AQ112</f>
        <v>152030.50999999998</v>
      </c>
      <c r="AP17" s="206">
        <f>Analysis!AR112</f>
        <v>227964.54</v>
      </c>
      <c r="AQ17" s="206">
        <f>Analysis!AS112</f>
        <v>301531.64</v>
      </c>
      <c r="AR17" s="206">
        <f>Analysis!AT112</f>
        <v>346923.72000000003</v>
      </c>
      <c r="AS17" s="206">
        <f>Analysis!AU112</f>
        <v>314207.77999999991</v>
      </c>
      <c r="AT17" s="206">
        <f>Analysis!AV112</f>
        <v>520629.44999999995</v>
      </c>
      <c r="AU17" s="206">
        <f>Analysis!AW112</f>
        <v>609892.66999999993</v>
      </c>
      <c r="AV17" s="206">
        <f>Analysis!AX112</f>
        <v>313695.14999999991</v>
      </c>
      <c r="AW17" s="206">
        <f>Analysis!AY112</f>
        <v>182714.64</v>
      </c>
      <c r="AX17" s="206">
        <f>Analysis!AZ112</f>
        <v>242681.01</v>
      </c>
      <c r="AY17" s="206">
        <f>Analysis!BA112</f>
        <v>254054.72000000003</v>
      </c>
      <c r="AZ17" s="206">
        <f>Analysis!BB112</f>
        <v>314236.38</v>
      </c>
      <c r="BA17" s="206">
        <f>Analysis!BC112</f>
        <v>321128.50000000006</v>
      </c>
      <c r="BB17" s="206">
        <f>Analysis!BD112</f>
        <v>246621.4</v>
      </c>
      <c r="BC17" s="206">
        <f>Analysis!BE112</f>
        <v>346324.92000000004</v>
      </c>
      <c r="BD17" s="206">
        <f>Analysis!BF112</f>
        <v>367710.83</v>
      </c>
      <c r="BE17" s="206">
        <f>Analysis!BG112</f>
        <v>334591.38</v>
      </c>
      <c r="BF17" s="206">
        <f>Analysis!BH112</f>
        <v>403004.08</v>
      </c>
      <c r="BG17" s="206">
        <f>Analysis!BI112</f>
        <v>291636.95</v>
      </c>
      <c r="BH17" s="206">
        <f>Analysis!BJ112</f>
        <v>318231.06</v>
      </c>
      <c r="BI17" s="206">
        <f>Analysis!BK112</f>
        <v>313837.51999999996</v>
      </c>
      <c r="BJ17" s="206">
        <f>Analysis!BL112</f>
        <v>358869.06999999995</v>
      </c>
      <c r="BK17" s="206">
        <f>Analysis!BM112</f>
        <v>332911.80999999994</v>
      </c>
      <c r="BL17" s="206">
        <f>Analysis!BN112</f>
        <v>257653.53</v>
      </c>
      <c r="BM17" s="206">
        <f>Analysis!BO112</f>
        <v>137489.61000000002</v>
      </c>
      <c r="BN17" s="206">
        <f>Analysis!BP112</f>
        <v>357903.13</v>
      </c>
      <c r="BO17" s="411">
        <f>Analysis!BQ112</f>
        <v>355742.52</v>
      </c>
      <c r="BP17" s="64">
        <f>Analysis!BR112</f>
        <v>377087.07120000006</v>
      </c>
      <c r="BQ17" s="64">
        <f>Analysis!BS112</f>
        <v>399712.29547200009</v>
      </c>
      <c r="BR17" s="64">
        <f>Analysis!BT112</f>
        <v>423695.03320032009</v>
      </c>
      <c r="BS17" s="64">
        <f>Analysis!BU112</f>
        <v>449116.73519233934</v>
      </c>
      <c r="BT17" s="64">
        <f>Analysis!BV112</f>
        <v>476063.73930387973</v>
      </c>
      <c r="BU17" s="64">
        <f>Analysis!BW112</f>
        <v>504627.56366211252</v>
      </c>
      <c r="BV17" s="64">
        <f>Analysis!BX112</f>
        <v>512196.97711704415</v>
      </c>
      <c r="BW17" s="64">
        <f>Analysis!BY112</f>
        <v>519879.93177379976</v>
      </c>
      <c r="BX17" s="64">
        <f>Analysis!BZ112</f>
        <v>527678.13075040677</v>
      </c>
      <c r="BY17" s="64">
        <f>Analysis!CA112</f>
        <v>535593.30271166284</v>
      </c>
      <c r="BZ17" s="64">
        <f>Analysis!CB112</f>
        <v>543627.20225233771</v>
      </c>
      <c r="CA17" s="64">
        <f>Analysis!CC112</f>
        <v>551781.61028612277</v>
      </c>
      <c r="CB17" s="64">
        <f>Analysis!CD112</f>
        <v>560058.33444041456</v>
      </c>
      <c r="CC17" s="64">
        <f>Analysis!CE112</f>
        <v>568459.20945702074</v>
      </c>
      <c r="CD17" s="64">
        <f>Analysis!CF112</f>
        <v>576986.09759887599</v>
      </c>
      <c r="CE17" s="64">
        <f>Analysis!CG112</f>
        <v>585640.88906285912</v>
      </c>
      <c r="CF17" s="64">
        <f>Analysis!CH112</f>
        <v>594425.50239880197</v>
      </c>
      <c r="CG17" s="124">
        <f>Analysis!CI112</f>
        <v>603341.88493478391</v>
      </c>
      <c r="CH17" s="139"/>
    </row>
    <row r="18" spans="1:86" x14ac:dyDescent="0.3">
      <c r="A18" s="26" t="s">
        <v>100</v>
      </c>
      <c r="B18" s="206">
        <f>Analysis!D135</f>
        <v>5652.53</v>
      </c>
      <c r="C18" s="206">
        <f>Analysis!E135</f>
        <v>7828.67</v>
      </c>
      <c r="D18" s="206">
        <f>Analysis!F135</f>
        <v>10202.58</v>
      </c>
      <c r="E18" s="206">
        <f>Analysis!G135</f>
        <v>10543.36</v>
      </c>
      <c r="F18" s="206">
        <f>Analysis!H135</f>
        <v>9347.91</v>
      </c>
      <c r="G18" s="206">
        <f>Analysis!I135</f>
        <v>19809.87</v>
      </c>
      <c r="H18" s="206">
        <f>Analysis!J135</f>
        <v>7696.57</v>
      </c>
      <c r="I18" s="206">
        <f>Analysis!K135</f>
        <v>10854.210000000001</v>
      </c>
      <c r="J18" s="206">
        <f>Analysis!L135</f>
        <v>12413.869999999999</v>
      </c>
      <c r="K18" s="206">
        <f>Analysis!M135</f>
        <v>14166.92</v>
      </c>
      <c r="L18" s="206">
        <f>Analysis!N135</f>
        <v>13192.82</v>
      </c>
      <c r="M18" s="206">
        <f>Analysis!O135</f>
        <v>16681.43</v>
      </c>
      <c r="N18" s="206">
        <f>Analysis!P135</f>
        <v>19460.86</v>
      </c>
      <c r="O18" s="206">
        <f>Analysis!Q135</f>
        <v>23037.66</v>
      </c>
      <c r="P18" s="206">
        <f>Analysis!R135</f>
        <v>25534.82</v>
      </c>
      <c r="Q18" s="206">
        <f>Analysis!S135</f>
        <v>25875.57</v>
      </c>
      <c r="R18" s="206">
        <f>Analysis!T135</f>
        <v>36186.630000000005</v>
      </c>
      <c r="S18" s="206">
        <f>Analysis!U135</f>
        <v>27103.589999999997</v>
      </c>
      <c r="T18" s="206">
        <f>Analysis!V135</f>
        <v>27586.57</v>
      </c>
      <c r="U18" s="206">
        <f>Analysis!W135</f>
        <v>30806.73</v>
      </c>
      <c r="V18" s="206">
        <f>Analysis!X135</f>
        <v>29172.97</v>
      </c>
      <c r="W18" s="206">
        <f>Analysis!Y135</f>
        <v>42352.44</v>
      </c>
      <c r="X18" s="206">
        <f>Analysis!Z135</f>
        <v>33843.770000000004</v>
      </c>
      <c r="Y18" s="206">
        <f>Analysis!AA135</f>
        <v>35094.99</v>
      </c>
      <c r="Z18" s="206">
        <f>Analysis!AB135</f>
        <v>34927.54</v>
      </c>
      <c r="AA18" s="206">
        <f>Analysis!AC135</f>
        <v>44666.2</v>
      </c>
      <c r="AB18" s="206">
        <f>Analysis!AD135</f>
        <v>51395.86</v>
      </c>
      <c r="AC18" s="206">
        <f>Analysis!AE135</f>
        <v>77976.19</v>
      </c>
      <c r="AD18" s="206">
        <f>Analysis!AF135</f>
        <v>59872.739999999991</v>
      </c>
      <c r="AE18" s="206">
        <f>Analysis!AG135</f>
        <v>55939.81</v>
      </c>
      <c r="AF18" s="206">
        <f>Analysis!AH135</f>
        <v>62432.340000000004</v>
      </c>
      <c r="AG18" s="206">
        <f>Analysis!AI135</f>
        <v>66292.37999999999</v>
      </c>
      <c r="AH18" s="206">
        <f>Analysis!AJ135</f>
        <v>62028.939999999995</v>
      </c>
      <c r="AI18" s="206">
        <f>Analysis!AK135</f>
        <v>72024.740000000005</v>
      </c>
      <c r="AJ18" s="206">
        <f>Analysis!AL135</f>
        <v>99547.45</v>
      </c>
      <c r="AK18" s="206">
        <f>Analysis!AM135</f>
        <v>73361.13</v>
      </c>
      <c r="AL18" s="206">
        <f>Analysis!AN135</f>
        <v>69539.03</v>
      </c>
      <c r="AM18" s="206">
        <f>Analysis!AO135</f>
        <v>75661.399999999994</v>
      </c>
      <c r="AN18" s="206">
        <f>Analysis!AP135</f>
        <v>91131.799999999988</v>
      </c>
      <c r="AO18" s="206">
        <f>Analysis!AQ135</f>
        <v>136365.72999999998</v>
      </c>
      <c r="AP18" s="206">
        <f>Analysis!AR135</f>
        <v>163825.72999999998</v>
      </c>
      <c r="AQ18" s="206">
        <f>Analysis!AS135</f>
        <v>217184.38</v>
      </c>
      <c r="AR18" s="206">
        <f>Analysis!AT135</f>
        <v>167472.25</v>
      </c>
      <c r="AS18" s="206">
        <f>Analysis!AU135</f>
        <v>226472.4</v>
      </c>
      <c r="AT18" s="206">
        <f>Analysis!AV135</f>
        <v>257255.94999999998</v>
      </c>
      <c r="AU18" s="206">
        <f>Analysis!AW135</f>
        <v>279999.84999999998</v>
      </c>
      <c r="AV18" s="206">
        <f>Analysis!AX135</f>
        <v>394964.3</v>
      </c>
      <c r="AW18" s="206">
        <f>Analysis!AY135</f>
        <v>410806.15</v>
      </c>
      <c r="AX18" s="206">
        <f>Analysis!AZ135</f>
        <v>367489.34</v>
      </c>
      <c r="AY18" s="206">
        <f>Analysis!BA135</f>
        <v>407600.69999999995</v>
      </c>
      <c r="AZ18" s="206">
        <f>Analysis!BB135</f>
        <v>380668.19999999995</v>
      </c>
      <c r="BA18" s="206">
        <f>Analysis!BC135</f>
        <v>416708.35000000003</v>
      </c>
      <c r="BB18" s="206">
        <f>Analysis!BD135</f>
        <v>504418.95</v>
      </c>
      <c r="BC18" s="206">
        <f>Analysis!BE135</f>
        <v>400562.56</v>
      </c>
      <c r="BD18" s="206">
        <f>Analysis!BF135</f>
        <v>435304.06999999995</v>
      </c>
      <c r="BE18" s="206">
        <f>Analysis!BG135</f>
        <v>434007.23000000004</v>
      </c>
      <c r="BF18" s="206">
        <f>Analysis!BH135</f>
        <v>406280.65</v>
      </c>
      <c r="BG18" s="206">
        <f>Analysis!BI135</f>
        <v>554024.72</v>
      </c>
      <c r="BH18" s="206">
        <f>Analysis!BJ135</f>
        <v>384549.93000000005</v>
      </c>
      <c r="BI18" s="206">
        <f>Analysis!BK135</f>
        <v>367241.82</v>
      </c>
      <c r="BJ18" s="206">
        <f>Analysis!BL135</f>
        <v>330022.37999999995</v>
      </c>
      <c r="BK18" s="206">
        <f>Analysis!BM135</f>
        <v>346391.2</v>
      </c>
      <c r="BL18" s="206">
        <f>Analysis!BN135</f>
        <v>362370.44999999995</v>
      </c>
      <c r="BM18" s="206">
        <f>Analysis!BO135</f>
        <v>562058.69999999995</v>
      </c>
      <c r="BN18" s="206">
        <f>Analysis!BP135</f>
        <v>375502.44999999995</v>
      </c>
      <c r="BO18" s="411">
        <f>Analysis!BQ135</f>
        <v>428196.04</v>
      </c>
      <c r="BP18" s="64">
        <f>Analysis!BR135</f>
        <v>524823.04994584259</v>
      </c>
      <c r="BQ18" s="64">
        <f>Analysis!BS135</f>
        <v>532191.766156798</v>
      </c>
      <c r="BR18" s="64">
        <f>Analysis!BT135</f>
        <v>544826.73869756993</v>
      </c>
      <c r="BS18" s="64">
        <f>Analysis!BU135</f>
        <v>562079.11627651518</v>
      </c>
      <c r="BT18" s="64">
        <f>Analysis!BV135</f>
        <v>583454.0818587793</v>
      </c>
      <c r="BU18" s="64">
        <f>Analysis!BW135</f>
        <v>608581.50165484427</v>
      </c>
      <c r="BV18" s="64">
        <f>Analysis!BX135</f>
        <v>630810.71103421377</v>
      </c>
      <c r="BW18" s="64">
        <f>Analysis!BY135</f>
        <v>650753.26118336432</v>
      </c>
      <c r="BX18" s="64">
        <f>Analysis!BZ135</f>
        <v>668898.87168802472</v>
      </c>
      <c r="BY18" s="64">
        <f>Analysis!CA135</f>
        <v>685639.8040328729</v>
      </c>
      <c r="BZ18" s="64">
        <f>Analysis!CB135</f>
        <v>701290.36050898838</v>
      </c>
      <c r="CA18" s="64">
        <f>Analysis!CC135</f>
        <v>716102.48344912089</v>
      </c>
      <c r="CB18" s="64">
        <f>Analysis!CD135</f>
        <v>730278.234726856</v>
      </c>
      <c r="CC18" s="64">
        <f>Analysis!CE135</f>
        <v>743979.77946855733</v>
      </c>
      <c r="CD18" s="64">
        <f>Analysis!CF135</f>
        <v>757337.3731372247</v>
      </c>
      <c r="CE18" s="64">
        <f>Analysis!CG135</f>
        <v>770455.75131559407</v>
      </c>
      <c r="CF18" s="64">
        <f>Analysis!CH135</f>
        <v>783419.24165037682</v>
      </c>
      <c r="CG18" s="124">
        <f>Analysis!CI135</f>
        <v>796295.85352717165</v>
      </c>
      <c r="CH18" s="139"/>
    </row>
    <row r="19" spans="1:86" x14ac:dyDescent="0.3">
      <c r="A19" s="21" t="s">
        <v>463</v>
      </c>
      <c r="B19" s="20">
        <f>Analysis!D151-(Analysis!D135+Analysis!D112+Analysis!D91)</f>
        <v>6508.73</v>
      </c>
      <c r="C19" s="20">
        <f>Analysis!E151-(Analysis!E135+Analysis!E112+Analysis!E91)</f>
        <v>7739.0300000000025</v>
      </c>
      <c r="D19" s="20">
        <f>Analysis!F151-(Analysis!F135+Analysis!F112+Analysis!F91)</f>
        <v>10804.089999999997</v>
      </c>
      <c r="E19" s="20">
        <f>Analysis!G151-(Analysis!G135+Analysis!G112+Analysis!G91)</f>
        <v>11616.43</v>
      </c>
      <c r="F19" s="20">
        <f>Analysis!H151-(Analysis!H135+Analysis!H112+Analysis!H91)</f>
        <v>9893.6500000000015</v>
      </c>
      <c r="G19" s="20">
        <f>Analysis!I151-(Analysis!I135+Analysis!I112+Analysis!I91)</f>
        <v>13561.440000000006</v>
      </c>
      <c r="H19" s="20">
        <f>Analysis!J151-(Analysis!J135+Analysis!J112+Analysis!J91)</f>
        <v>20900.910000000003</v>
      </c>
      <c r="I19" s="20">
        <f>Analysis!K151-(Analysis!K135+Analysis!K112+Analysis!K91)</f>
        <v>17918.049999999996</v>
      </c>
      <c r="J19" s="20">
        <f>Analysis!L151-(Analysis!L135+Analysis!L112+Analysis!L91)</f>
        <v>21195.889999999996</v>
      </c>
      <c r="K19" s="20">
        <f>Analysis!M151-(Analysis!M135+Analysis!M112+Analysis!M91)</f>
        <v>22218.319999999996</v>
      </c>
      <c r="L19" s="20">
        <f>Analysis!N151-(Analysis!N135+Analysis!N112+Analysis!N91)</f>
        <v>20647.639999999996</v>
      </c>
      <c r="M19" s="20">
        <f>Analysis!O151-(Analysis!O135+Analysis!O112+Analysis!O91)</f>
        <v>25936.14</v>
      </c>
      <c r="N19" s="20">
        <f>Analysis!P151-(Analysis!P135+Analysis!P112+Analysis!P91)</f>
        <v>32808.149999999994</v>
      </c>
      <c r="O19" s="20">
        <f>Analysis!Q151-(Analysis!Q135+Analysis!Q112+Analysis!Q91)</f>
        <v>38648.669999999991</v>
      </c>
      <c r="P19" s="20">
        <f>Analysis!R151-(Analysis!R135+Analysis!R112+Analysis!R91)</f>
        <v>25006.739999999998</v>
      </c>
      <c r="Q19" s="20">
        <f>Analysis!S151-(Analysis!S135+Analysis!S112+Analysis!S91)</f>
        <v>31756.379999999997</v>
      </c>
      <c r="R19" s="20">
        <f>Analysis!T151-(Analysis!T135+Analysis!T112+Analysis!T91)</f>
        <v>29321.669999999991</v>
      </c>
      <c r="S19" s="20">
        <f>Analysis!U151-(Analysis!U135+Analysis!U112+Analysis!U91)</f>
        <v>31750.640000000007</v>
      </c>
      <c r="T19" s="20">
        <f>Analysis!V151-(Analysis!V135+Analysis!V112+Analysis!V91)</f>
        <v>30650.35</v>
      </c>
      <c r="U19" s="20">
        <f>Analysis!W151-(Analysis!W135+Analysis!W112+Analysis!W91)</f>
        <v>35475.279999999999</v>
      </c>
      <c r="V19" s="20">
        <f>Analysis!X151-(Analysis!X135+Analysis!X112+Analysis!X91)</f>
        <v>44263.5</v>
      </c>
      <c r="W19" s="20">
        <f>Analysis!Y151-(Analysis!Y135+Analysis!Y112+Analysis!Y91)</f>
        <v>37710.22</v>
      </c>
      <c r="X19" s="20">
        <f>Analysis!Z151-(Analysis!Z135+Analysis!Z112+Analysis!Z91)</f>
        <v>44277.599999999991</v>
      </c>
      <c r="Y19" s="20">
        <f>Analysis!AA151-(Analysis!AA135+Analysis!AA112+Analysis!AA91)</f>
        <v>34460.150000000023</v>
      </c>
      <c r="Z19" s="20">
        <f>Analysis!AB151-(Analysis!AB135+Analysis!AB112+Analysis!AB91)</f>
        <v>0</v>
      </c>
      <c r="AA19" s="20">
        <f>Analysis!AC151-(Analysis!AC135+Analysis!AC112+Analysis!AC91)</f>
        <v>0</v>
      </c>
      <c r="AB19" s="20">
        <f>Analysis!AD151-(Analysis!AD135+Analysis!AD112+Analysis!AD91)</f>
        <v>0</v>
      </c>
      <c r="AC19" s="20">
        <f>Analysis!AE151-(Analysis!AE135+Analysis!AE112+Analysis!AE91)</f>
        <v>0</v>
      </c>
      <c r="AD19" s="20">
        <f>Analysis!AF151-(Analysis!AF135+Analysis!AF112+Analysis!AF91)</f>
        <v>0</v>
      </c>
      <c r="AE19" s="20">
        <f>Analysis!AG151-(Analysis!AG135+Analysis!AG112+Analysis!AG91)</f>
        <v>0</v>
      </c>
      <c r="AF19" s="20">
        <f>Analysis!AH151-(Analysis!AH135+Analysis!AH112+Analysis!AH91)</f>
        <v>0</v>
      </c>
      <c r="AG19" s="20">
        <f>Analysis!AI151-(Analysis!AI135+Analysis!AI112+Analysis!AI91)</f>
        <v>0</v>
      </c>
      <c r="AH19" s="20">
        <f>Analysis!AJ151-(Analysis!AJ135+Analysis!AJ112+Analysis!AJ91)</f>
        <v>0</v>
      </c>
      <c r="AI19" s="20">
        <f>Analysis!AK151-(Analysis!AK135+Analysis!AK112+Analysis!AK91)</f>
        <v>0</v>
      </c>
      <c r="AJ19" s="20">
        <f>Analysis!AL151-(Analysis!AL135+Analysis!AL112+Analysis!AL91)</f>
        <v>0</v>
      </c>
      <c r="AK19" s="20">
        <f>Analysis!AM151-(Analysis!AM135+Analysis!AM112+Analysis!AM91)</f>
        <v>0</v>
      </c>
      <c r="AL19" s="20">
        <f>Analysis!AN151-(Analysis!AN135+Analysis!AN112+Analysis!AN91)</f>
        <v>0</v>
      </c>
      <c r="AM19" s="20">
        <f>Analysis!AO151-(Analysis!AO135+Analysis!AO112+Analysis!AO91)</f>
        <v>20.000000000058208</v>
      </c>
      <c r="AN19" s="20">
        <f>Analysis!AP151-(Analysis!AP135+Analysis!AP112+Analysis!AP91)</f>
        <v>0</v>
      </c>
      <c r="AO19" s="20">
        <f>Analysis!AQ151-(Analysis!AQ135+Analysis!AQ112+Analysis!AQ91)</f>
        <v>0</v>
      </c>
      <c r="AP19" s="20">
        <f>Analysis!AR151-(Analysis!AR135+Analysis!AR112+Analysis!AR91)</f>
        <v>0</v>
      </c>
      <c r="AQ19" s="20">
        <f>Analysis!AS151-(Analysis!AS135+Analysis!AS112+Analysis!AS91)</f>
        <v>0</v>
      </c>
      <c r="AR19" s="20">
        <f>Analysis!AT151-(Analysis!AT135+Analysis!AT112+Analysis!AT91)</f>
        <v>1026.5799999999581</v>
      </c>
      <c r="AS19" s="20">
        <f>Analysis!AU151-(Analysis!AU135+Analysis!AU112+Analysis!AU91)</f>
        <v>0</v>
      </c>
      <c r="AT19" s="20">
        <f>Analysis!AV151-(Analysis!AV135+Analysis!AV112+Analysis!AV91)</f>
        <v>855.4100000000326</v>
      </c>
      <c r="AU19" s="20">
        <f>Analysis!AW151-(Analysis!AW135+Analysis!AW112+Analysis!AW91)</f>
        <v>379.40000000002328</v>
      </c>
      <c r="AV19" s="20">
        <f>Analysis!AX151-(Analysis!AX135+Analysis!AX112+Analysis!AX91)</f>
        <v>128.81999999983236</v>
      </c>
      <c r="AW19" s="20">
        <f>Analysis!AY151-(Analysis!AY135+Analysis!AY112+Analysis!AY91)</f>
        <v>0</v>
      </c>
      <c r="AX19" s="20">
        <f>Analysis!AZ151-(Analysis!AZ135+Analysis!AZ112+Analysis!AZ91)</f>
        <v>964.81999999994878</v>
      </c>
      <c r="AY19" s="20">
        <f>Analysis!BA151-(Analysis!BA135+Analysis!BA112+Analysis!BA91)</f>
        <v>24.300000000046566</v>
      </c>
      <c r="AZ19" s="20">
        <f>Analysis!BB151-(Analysis!BB135+Analysis!BB112+Analysis!BB91)</f>
        <v>917.58000000007451</v>
      </c>
      <c r="BA19" s="20">
        <f>Analysis!BC151-(Analysis!BC135+Analysis!BC112+Analysis!BC91)</f>
        <v>3243.8299999999581</v>
      </c>
      <c r="BB19" s="20">
        <f>Analysis!BD151-(Analysis!BD135+Analysis!BD112+Analysis!BD91)</f>
        <v>1826.0699999999488</v>
      </c>
      <c r="BC19" s="20">
        <f>Analysis!BE151-(Analysis!BE135+Analysis!BE112+Analysis!BE91)</f>
        <v>1662.3600000001024</v>
      </c>
      <c r="BD19" s="20">
        <f>Analysis!BF151-(Analysis!BF135+Analysis!BF112+Analysis!BF91)</f>
        <v>584.9100000000326</v>
      </c>
      <c r="BE19" s="20">
        <f>Analysis!BG151-(Analysis!BG135+Analysis!BG112+Analysis!BG91)</f>
        <v>7468.2399999997579</v>
      </c>
      <c r="BF19" s="20">
        <f>Analysis!BH151-(Analysis!BH135+Analysis!BH112+Analysis!BH91)</f>
        <v>2103.8400000000838</v>
      </c>
      <c r="BG19" s="20">
        <f>Analysis!BI151-(Analysis!BI135+Analysis!BI112+Analysis!BI91)</f>
        <v>4128.6700000000419</v>
      </c>
      <c r="BH19" s="20">
        <f>Analysis!BJ151-(Analysis!BJ135+Analysis!BJ112+Analysis!BJ91)</f>
        <v>1478.1500000001397</v>
      </c>
      <c r="BI19" s="20">
        <f>Analysis!BK151-(Analysis!BK135+Analysis!BK112+Analysis!BK91)</f>
        <v>3058.5200000000186</v>
      </c>
      <c r="BJ19" s="20">
        <f>Analysis!BL151-(Analysis!BL135+Analysis!BL112+Analysis!BL91)</f>
        <v>3972.6799999998184</v>
      </c>
      <c r="BK19" s="20">
        <f>Analysis!BM151-(Analysis!BM135+Analysis!BM112+Analysis!BM91)</f>
        <v>15471.540000000154</v>
      </c>
      <c r="BL19" s="20">
        <f>Analysis!BN151-(Analysis!BN135+Analysis!BN112+Analysis!BN91)</f>
        <v>3660.839999999851</v>
      </c>
      <c r="BM19" s="20">
        <f>Analysis!BO151-(Analysis!BO135+Analysis!BO112+Analysis!BO91)</f>
        <v>29980.560000000056</v>
      </c>
      <c r="BN19" s="20">
        <f>Analysis!BP151-(Analysis!BP135+Analysis!BP112+Analysis!BP91)</f>
        <v>28722.039999999921</v>
      </c>
      <c r="BO19" s="412">
        <f>Analysis!BQ151-(Analysis!BQ135+Analysis!BQ112+Analysis!BQ91)</f>
        <v>18993.729999999981</v>
      </c>
      <c r="BP19" s="65">
        <f>Analysis!BR151-(Analysis!BR135+Analysis!BR112+Analysis!BR91)</f>
        <v>6274.3933333333116</v>
      </c>
      <c r="BQ19" s="65">
        <f>Analysis!BS151-(Analysis!BS135+Analysis!BS112+Analysis!BS91)</f>
        <v>6779.4794444444124</v>
      </c>
      <c r="BR19" s="65">
        <f>Analysis!BT151-(Analysis!BT135+Analysis!BT112+Analysis!BT91)</f>
        <v>6738.907731481595</v>
      </c>
      <c r="BS19" s="65">
        <f>Analysis!BU151-(Analysis!BU135+Analysis!BU112+Analysis!BU91)</f>
        <v>7264.5244868826121</v>
      </c>
      <c r="BT19" s="65">
        <f>Analysis!BV151-(Analysis!BV135+Analysis!BV112+Analysis!BV91)</f>
        <v>7530.1546293082647</v>
      </c>
      <c r="BU19" s="65">
        <f>Analysis!BW151-(Analysis!BW135+Analysis!BW112+Analysis!BW91)</f>
        <v>8036.4840505777393</v>
      </c>
      <c r="BV19" s="65">
        <f>Analysis!BX151-(Analysis!BX135+Analysis!BX112+Analysis!BX91)</f>
        <v>8453.4474295349792</v>
      </c>
      <c r="BW19" s="65">
        <f>Analysis!BY151-(Analysis!BY135+Analysis!BY112+Analysis!BY91)</f>
        <v>8945.2431114632636</v>
      </c>
      <c r="BX19" s="65">
        <f>Analysis!BZ151-(Analysis!BZ135+Analysis!BZ112+Analysis!BZ91)</f>
        <v>8427.2151002185419</v>
      </c>
      <c r="BY19" s="65">
        <f>Analysis!CA151-(Analysis!CA135+Analysis!CA112+Analysis!CA91)</f>
        <v>8979.3947547036223</v>
      </c>
      <c r="BZ19" s="65">
        <f>Analysis!CB151-(Analysis!CB135+Analysis!CB112+Analysis!CB91)</f>
        <v>9058.8660470622126</v>
      </c>
      <c r="CA19" s="65">
        <f>Analysis!CC151-(Analysis!CC135+Analysis!CC112+Analysis!CC91)</f>
        <v>8173.3416137841996</v>
      </c>
      <c r="CB19" s="65">
        <f>Analysis!CD151-(Analysis!CD135+Analysis!CD112+Analysis!CD91)</f>
        <v>7888.4543110663071</v>
      </c>
      <c r="CC19" s="65">
        <f>Analysis!CE151-(Analysis!CE135+Analysis!CE112+Analysis!CE91)</f>
        <v>8022.9593925438821</v>
      </c>
      <c r="CD19" s="65">
        <f>Analysis!CF151-(Analysis!CF135+Analysis!CF112+Analysis!CF91)</f>
        <v>8126.5827215521131</v>
      </c>
      <c r="CE19" s="65">
        <f>Analysis!CG151-(Analysis!CG135+Analysis!CG112+Analysis!CG91)</f>
        <v>8242.2223040580284</v>
      </c>
      <c r="CF19" s="65">
        <f>Analysis!CH151-(Analysis!CH135+Analysis!CH112+Analysis!CH91)</f>
        <v>8323.6971221561544</v>
      </c>
      <c r="CG19" s="125">
        <f>Analysis!CI151-(Analysis!CI135+Analysis!CI112+Analysis!CI91)</f>
        <v>8389.8256632268894</v>
      </c>
      <c r="CH19" s="269"/>
    </row>
    <row r="20" spans="1:86" x14ac:dyDescent="0.3">
      <c r="A20" s="26" t="s">
        <v>103</v>
      </c>
      <c r="B20" s="23">
        <f>Analysis!D151</f>
        <v>15448.05</v>
      </c>
      <c r="C20" s="23">
        <f>Analysis!E151</f>
        <v>19669.010000000002</v>
      </c>
      <c r="D20" s="23">
        <f>Analysis!F151</f>
        <v>29260.189999999995</v>
      </c>
      <c r="E20" s="23">
        <f>Analysis!G151</f>
        <v>28201.030000000002</v>
      </c>
      <c r="F20" s="23">
        <f>Analysis!H151</f>
        <v>25952.05</v>
      </c>
      <c r="G20" s="23">
        <f>Analysis!I151</f>
        <v>42213.350000000006</v>
      </c>
      <c r="H20" s="23">
        <f>Analysis!J151</f>
        <v>35880.54</v>
      </c>
      <c r="I20" s="23">
        <f>Analysis!K151</f>
        <v>40951.379999999997</v>
      </c>
      <c r="J20" s="23">
        <f>Analysis!L151</f>
        <v>41421.06</v>
      </c>
      <c r="K20" s="23">
        <f>Analysis!M151</f>
        <v>48509.95</v>
      </c>
      <c r="L20" s="23">
        <f>Analysis!N151</f>
        <v>48939.149999999994</v>
      </c>
      <c r="M20" s="23">
        <f>Analysis!O151</f>
        <v>53047.340000000004</v>
      </c>
      <c r="N20" s="23">
        <f>Analysis!P151</f>
        <v>70986.59</v>
      </c>
      <c r="O20" s="23">
        <f>Analysis!Q151</f>
        <v>80087.48</v>
      </c>
      <c r="P20" s="23">
        <f>Analysis!R151</f>
        <v>66537.98</v>
      </c>
      <c r="Q20" s="23">
        <f>Analysis!S151</f>
        <v>76839.59</v>
      </c>
      <c r="R20" s="23">
        <f>Analysis!T151</f>
        <v>90720.01</v>
      </c>
      <c r="S20" s="23">
        <f>Analysis!U151</f>
        <v>82111.58</v>
      </c>
      <c r="T20" s="23">
        <f>Analysis!V151</f>
        <v>85095.43</v>
      </c>
      <c r="U20" s="23">
        <f>Analysis!W151</f>
        <v>109205.57</v>
      </c>
      <c r="V20" s="23">
        <f>Analysis!X151</f>
        <v>126379.35999999999</v>
      </c>
      <c r="W20" s="23">
        <f>Analysis!Y151</f>
        <v>122947.62000000001</v>
      </c>
      <c r="X20" s="23">
        <f>Analysis!Z151</f>
        <v>118712.16</v>
      </c>
      <c r="Y20" s="23">
        <f>Analysis!AA151</f>
        <v>107155.55000000002</v>
      </c>
      <c r="Z20" s="23">
        <f>Analysis!AB151</f>
        <v>98568.700000000012</v>
      </c>
      <c r="AA20" s="23">
        <f>Analysis!AC151</f>
        <v>95444.93</v>
      </c>
      <c r="AB20" s="23">
        <f>Analysis!AD151</f>
        <v>117282.49</v>
      </c>
      <c r="AC20" s="23">
        <f>Analysis!AE151</f>
        <v>140639.03</v>
      </c>
      <c r="AD20" s="23">
        <f>Analysis!AF151</f>
        <v>127289.88</v>
      </c>
      <c r="AE20" s="23">
        <f>Analysis!AG151</f>
        <v>122607.98</v>
      </c>
      <c r="AF20" s="23">
        <f>Analysis!AH151</f>
        <v>142590.29</v>
      </c>
      <c r="AG20" s="23">
        <f>Analysis!AI151</f>
        <v>172735.89999999997</v>
      </c>
      <c r="AH20" s="23">
        <f>Analysis!AJ151</f>
        <v>161402.47000000003</v>
      </c>
      <c r="AI20" s="23">
        <f>Analysis!AK151</f>
        <v>177095.09999999998</v>
      </c>
      <c r="AJ20" s="23">
        <f>Analysis!AL151</f>
        <v>197446.55</v>
      </c>
      <c r="AK20" s="23">
        <f>Analysis!AM151</f>
        <v>176458.43</v>
      </c>
      <c r="AL20" s="23">
        <f>Analysis!AN151</f>
        <v>213127.97</v>
      </c>
      <c r="AM20" s="23">
        <f>Analysis!AO151</f>
        <v>286535.08</v>
      </c>
      <c r="AN20" s="23">
        <f>Analysis!AP151</f>
        <v>364486.14999999997</v>
      </c>
      <c r="AO20" s="23">
        <f>Analysis!AQ151</f>
        <v>319508.14999999997</v>
      </c>
      <c r="AP20" s="23">
        <f>Analysis!AR151</f>
        <v>429054.85</v>
      </c>
      <c r="AQ20" s="23">
        <f>Analysis!AS151</f>
        <v>551448.37</v>
      </c>
      <c r="AR20" s="23">
        <f>Analysis!AT151</f>
        <v>570698.37</v>
      </c>
      <c r="AS20" s="23">
        <f>Analysis!AU151</f>
        <v>617823.84</v>
      </c>
      <c r="AT20" s="23">
        <f>Analysis!AV151</f>
        <v>833253.44</v>
      </c>
      <c r="AU20" s="23">
        <f>Analysis!AW151</f>
        <v>944798.78999999992</v>
      </c>
      <c r="AV20" s="23">
        <f>Analysis!AX151</f>
        <v>771136.81999999983</v>
      </c>
      <c r="AW20" s="23">
        <f>Analysis!AY151</f>
        <v>642868.64</v>
      </c>
      <c r="AX20" s="23">
        <f>Analysis!AZ151</f>
        <v>667685.53</v>
      </c>
      <c r="AY20" s="23">
        <f>Analysis!BA151</f>
        <v>713284.15</v>
      </c>
      <c r="AZ20" s="23">
        <f>Analysis!BB151</f>
        <v>762783.71</v>
      </c>
      <c r="BA20" s="23">
        <f>Analysis!BC151</f>
        <v>822124.4</v>
      </c>
      <c r="BB20" s="23">
        <f>Analysis!BD151</f>
        <v>825435.6</v>
      </c>
      <c r="BC20" s="23">
        <f>Analysis!BE151</f>
        <v>812297.46000000008</v>
      </c>
      <c r="BD20" s="23">
        <f>Analysis!BF151</f>
        <v>881361.52999999991</v>
      </c>
      <c r="BE20" s="23">
        <f>Analysis!BG151</f>
        <v>838740.1399999999</v>
      </c>
      <c r="BF20" s="23">
        <f>Analysis!BH151</f>
        <v>902080.44000000006</v>
      </c>
      <c r="BG20" s="23">
        <f>Analysis!BI151</f>
        <v>921802.98</v>
      </c>
      <c r="BH20" s="23">
        <f>Analysis!BJ151</f>
        <v>778720.08000000007</v>
      </c>
      <c r="BI20" s="23">
        <f>Analysis!BK151</f>
        <v>762637.02</v>
      </c>
      <c r="BJ20" s="23">
        <f>Analysis!BL151</f>
        <v>758970.73999999976</v>
      </c>
      <c r="BK20" s="23">
        <f>Analysis!BM151</f>
        <v>777244.92000000016</v>
      </c>
      <c r="BL20" s="23">
        <f>Analysis!BN151</f>
        <v>751290.21999999986</v>
      </c>
      <c r="BM20" s="23">
        <f>Analysis!BO151</f>
        <v>840695.65</v>
      </c>
      <c r="BN20" s="23">
        <f>Analysis!BP151</f>
        <v>849850.91999999993</v>
      </c>
      <c r="BO20" s="396">
        <f>Analysis!BQ151</f>
        <v>940646.88</v>
      </c>
      <c r="BP20" s="67">
        <f>Analysis!BR151</f>
        <v>995486.35535835079</v>
      </c>
      <c r="BQ20" s="67">
        <f>Analysis!BS151</f>
        <v>1027127.5989749006</v>
      </c>
      <c r="BR20" s="67">
        <f>Analysis!BT151</f>
        <v>1065647.1172882714</v>
      </c>
      <c r="BS20" s="67">
        <f>Analysis!BU151</f>
        <v>1111490.777281123</v>
      </c>
      <c r="BT20" s="67">
        <f>Analysis!BV151</f>
        <v>1163348.7480680172</v>
      </c>
      <c r="BU20" s="67">
        <f>Analysis!BW151</f>
        <v>1221386.8661974764</v>
      </c>
      <c r="BV20" s="67">
        <f>Analysis!BX151</f>
        <v>1255002.7450026856</v>
      </c>
      <c r="BW20" s="67">
        <f>Analysis!BY151</f>
        <v>1286172.9984065411</v>
      </c>
      <c r="BX20" s="67">
        <f>Analysis!BZ151</f>
        <v>1314378.7957059878</v>
      </c>
      <c r="BY20" s="67">
        <f>Analysis!CA151</f>
        <v>1342153.7543322959</v>
      </c>
      <c r="BZ20" s="67">
        <f>Analysis!CB151</f>
        <v>1368318.7668404656</v>
      </c>
      <c r="CA20" s="67">
        <f>Analysis!CC151</f>
        <v>1392673.5465535999</v>
      </c>
      <c r="CB20" s="67">
        <f>Analysis!CD151</f>
        <v>1417018.2950043124</v>
      </c>
      <c r="CC20" s="67">
        <f>Analysis!CE151</f>
        <v>1441360.4050358946</v>
      </c>
      <c r="CD20" s="67">
        <f>Analysis!CF151</f>
        <v>1465401.509971146</v>
      </c>
      <c r="CE20" s="67">
        <f>Analysis!CG151</f>
        <v>1489307.0461316474</v>
      </c>
      <c r="CF20" s="67">
        <f>Analysis!CH151</f>
        <v>1513129.8906847341</v>
      </c>
      <c r="CG20" s="191">
        <f>Analysis!CI151</f>
        <v>1536969.1516112031</v>
      </c>
      <c r="CH20" s="139"/>
    </row>
    <row r="21" spans="1:86" x14ac:dyDescent="0.3">
      <c r="A21" s="76" t="s">
        <v>260</v>
      </c>
      <c r="B21" s="192" t="str">
        <f>IFERROR(INDEX('I2015'!B$5:B$73,MATCH($A21,'I2015'!$A$5:$A$73,0)),"")</f>
        <v/>
      </c>
      <c r="C21" s="192" t="str">
        <f>IFERROR(INDEX('I2015'!C$5:C$73,MATCH($A21,'I2015'!$A$5:$A$73,0)),"")</f>
        <v/>
      </c>
      <c r="D21" s="192" t="str">
        <f>IFERROR(INDEX('I2015'!D$5:D$73,MATCH($A21,'I2015'!$A$5:$A$73,0)),"")</f>
        <v/>
      </c>
      <c r="E21" s="192" t="str">
        <f>IFERROR(INDEX('I2015'!E$5:E$73,MATCH($A21,'I2015'!$A$5:$A$73,0)),"")</f>
        <v/>
      </c>
      <c r="F21" s="192" t="str">
        <f>IFERROR(INDEX('I2015'!F$5:F$73,MATCH($A21,'I2015'!$A$5:$A$73,0)),"")</f>
        <v/>
      </c>
      <c r="G21" s="192" t="str">
        <f>IFERROR(INDEX('I2015'!G$5:G$73,MATCH($A21,'I2015'!$A$5:$A$73,0)),"")</f>
        <v/>
      </c>
      <c r="H21" s="192" t="str">
        <f>IFERROR(INDEX('I2015'!H$5:H$73,MATCH($A21,'I2015'!$A$5:$A$73,0)),"")</f>
        <v/>
      </c>
      <c r="I21" s="192" t="str">
        <f>IFERROR(INDEX('I2015'!I$5:I$73,MATCH($A21,'I2015'!$A$5:$A$73,0)),"")</f>
        <v/>
      </c>
      <c r="J21" s="192" t="str">
        <f>IFERROR(INDEX('I2015'!J$5:J$73,MATCH($A21,'I2015'!$A$5:$A$73,0)),"")</f>
        <v/>
      </c>
      <c r="K21" s="192" t="str">
        <f>IFERROR(INDEX('I2015'!K$5:K$73,MATCH($A21,'I2015'!$A$5:$A$73,0)),"")</f>
        <v/>
      </c>
      <c r="L21" s="192" t="str">
        <f>IFERROR(INDEX('I2015'!L$5:L$73,MATCH($A21,'I2015'!$A$5:$A$73,0)),"")</f>
        <v/>
      </c>
      <c r="M21" s="192" t="str">
        <f>IFERROR(INDEX('I2015'!M$5:M$73,MATCH($A21,'I2015'!$A$5:$A$73,0)),"")</f>
        <v/>
      </c>
      <c r="N21" s="192" t="str">
        <f>IFERROR(INDEX('I2016'!B$5:B$90,MATCH($A21,'I2016'!$A$5:$A$90,0)),"")</f>
        <v/>
      </c>
      <c r="O21" s="192" t="str">
        <f>IFERROR(INDEX('I2016'!C$5:C$90,MATCH($A21,'I2016'!$A$5:$A$90,0)),"")</f>
        <v/>
      </c>
      <c r="P21" s="192" t="str">
        <f>IFERROR(INDEX('I2016'!D$5:D$90,MATCH($A21,'I2016'!$A$5:$A$90,0)),"")</f>
        <v/>
      </c>
      <c r="Q21" s="192" t="str">
        <f>IFERROR(INDEX('I2016'!E$5:E$90,MATCH($A21,'I2016'!$A$5:$A$90,0)),"")</f>
        <v/>
      </c>
      <c r="R21" s="192" t="str">
        <f>IFERROR(INDEX('I2016'!F$5:F$90,MATCH($A21,'I2016'!$A$5:$A$90,0)),"")</f>
        <v/>
      </c>
      <c r="S21" s="192" t="str">
        <f>IFERROR(INDEX('I2016'!G$5:G$90,MATCH($A21,'I2016'!$A$5:$A$90,0)),"")</f>
        <v/>
      </c>
      <c r="T21" s="192" t="str">
        <f>IFERROR(INDEX('I2016'!H$5:H$90,MATCH($A21,'I2016'!$A$5:$A$90,0)),"")</f>
        <v/>
      </c>
      <c r="U21" s="192" t="str">
        <f>IFERROR(INDEX('I2016'!I$5:I$90,MATCH($A21,'I2016'!$A$5:$A$90,0)),"")</f>
        <v/>
      </c>
      <c r="V21" s="192" t="str">
        <f>IFERROR(INDEX('I2016'!J$5:J$90,MATCH($A21,'I2016'!$A$5:$A$90,0)),"")</f>
        <v/>
      </c>
      <c r="W21" s="192" t="str">
        <f>IFERROR(INDEX('I2016'!K$5:K$90,MATCH($A21,'I2016'!$A$5:$A$90,0)),"")</f>
        <v/>
      </c>
      <c r="X21" s="192" t="str">
        <f>IFERROR(INDEX('I2016'!L$5:L$90,MATCH($A21,'I2016'!$A$5:$A$90,0)),"")</f>
        <v/>
      </c>
      <c r="Y21" s="192" t="str">
        <f>IFERROR(INDEX('I2016'!M$5:M$90,MATCH($A21,'I2016'!$A$5:$A$90,0)),"")</f>
        <v/>
      </c>
      <c r="Z21" s="192" t="str">
        <f>IFERROR(INDEX('I2017'!B$5:B$96,MATCH($A21,'I2017'!$A$5:$A$96,0)),"")</f>
        <v/>
      </c>
      <c r="AA21" s="192" t="str">
        <f>IFERROR(INDEX('I2017'!C$5:C$96,MATCH($A21,'I2017'!$A$5:$A$96,0)),"")</f>
        <v/>
      </c>
      <c r="AB21" s="192" t="str">
        <f>IFERROR(INDEX('I2017'!D$5:D$96,MATCH($A21,'I2017'!$A$5:$A$96,0)),"")</f>
        <v/>
      </c>
      <c r="AC21" s="192" t="str">
        <f>IFERROR(INDEX('I2017'!E$5:E$96,MATCH($A21,'I2017'!$A$5:$A$96,0)),"")</f>
        <v/>
      </c>
      <c r="AD21" s="192" t="str">
        <f>IFERROR(INDEX('I2017'!F$5:F$96,MATCH($A21,'I2017'!$A$5:$A$96,0)),"")</f>
        <v/>
      </c>
      <c r="AE21" s="192" t="str">
        <f>IFERROR(INDEX('I2017'!G$5:G$96,MATCH($A21,'I2017'!$A$5:$A$96,0)),"")</f>
        <v/>
      </c>
      <c r="AF21" s="192" t="str">
        <f>IFERROR(INDEX('I2017'!H$5:H$96,MATCH($A21,'I2017'!$A$5:$A$96,0)),"")</f>
        <v/>
      </c>
      <c r="AG21" s="192" t="str">
        <f>IFERROR(INDEX('I2017'!I$5:I$96,MATCH($A21,'I2017'!$A$5:$A$96,0)),"")</f>
        <v/>
      </c>
      <c r="AH21" s="192" t="str">
        <f>IFERROR(INDEX('I2017'!J$5:J$96,MATCH($A21,'I2017'!$A$5:$A$96,0)),"")</f>
        <v/>
      </c>
      <c r="AI21" s="192" t="str">
        <f>IFERROR(INDEX('I2017'!K$5:K$96,MATCH($A21,'I2017'!$A$5:$A$96,0)),"")</f>
        <v/>
      </c>
      <c r="AJ21" s="192" t="str">
        <f>IFERROR(INDEX('I2017'!L$5:L$96,MATCH($A21,'I2017'!$A$5:$A$96,0)),"")</f>
        <v/>
      </c>
      <c r="AK21" s="192" t="str">
        <f>IFERROR(INDEX('I2017'!M$5:M$96,MATCH($A21,'I2017'!$A$5:$A$96,0)),"")</f>
        <v/>
      </c>
      <c r="AL21" s="192" t="str">
        <f>IFERROR(INDEX('I2018'!B$5:B$107,MATCH($A21,'I2018'!$A$5:$A$107,0)),"")</f>
        <v/>
      </c>
      <c r="AM21" s="192" t="str">
        <f>IFERROR(INDEX('I2018'!C$5:C$107,MATCH($A21,'I2018'!$A$5:$A$107,0)),"")</f>
        <v/>
      </c>
      <c r="AN21" s="192" t="str">
        <f>IFERROR(INDEX('I2018'!D$5:D$107,MATCH($A21,'I2018'!$A$5:$A$107,0)),"")</f>
        <v/>
      </c>
      <c r="AO21" s="192" t="str">
        <f>IFERROR(INDEX('I2018'!E$5:E$107,MATCH($A21,'I2018'!$A$5:$A$107,0)),"")</f>
        <v/>
      </c>
      <c r="AP21" s="192" t="str">
        <f>IFERROR(INDEX('I2018'!F$5:F$107,MATCH($A21,'I2018'!$A$5:$A$107,0)),"")</f>
        <v/>
      </c>
      <c r="AQ21" s="192" t="str">
        <f>IFERROR(INDEX('I2018'!G$5:G$107,MATCH($A21,'I2018'!$A$5:$A$107,0)),"")</f>
        <v/>
      </c>
      <c r="AR21" s="192" t="str">
        <f>IFERROR(INDEX('I2018'!H$5:H$107,MATCH($A21,'I2018'!$A$5:$A$107,0)),"")</f>
        <v/>
      </c>
      <c r="AS21" s="192" t="str">
        <f>IFERROR(INDEX('I2018'!I$5:I$107,MATCH($A21,'I2018'!$A$5:$A$107,0)),"")</f>
        <v/>
      </c>
      <c r="AT21" s="192" t="str">
        <f>IFERROR(INDEX('I2018'!J$5:J$107,MATCH($A21,'I2018'!$A$5:$A$107,0)),"")</f>
        <v/>
      </c>
      <c r="AU21" s="192" t="str">
        <f>IFERROR(INDEX('I2018'!K$5:K$107,MATCH($A21,'I2018'!$A$5:$A$107,0)),"")</f>
        <v/>
      </c>
      <c r="AV21" s="192" t="str">
        <f>IFERROR(INDEX('I2018'!L$5:L$107,MATCH($A21,'I2018'!$A$5:$A$107,0)),"")</f>
        <v/>
      </c>
      <c r="AW21" s="192" t="str">
        <f>IFERROR(INDEX('I2018'!M$5:M$107,MATCH($A21,'I2018'!$A$5:$A$107,0)),"")</f>
        <v/>
      </c>
      <c r="AX21" s="192" t="str">
        <f>IFERROR(INDEX('I2019'!B$5:B$112,MATCH($A21,'I2019'!$A$5:$A$112,0)),"")</f>
        <v/>
      </c>
      <c r="AY21" s="192" t="str">
        <f>IFERROR(INDEX('I2019'!C$5:C$112,MATCH($A21,'I2019'!$A$5:$A$112,0)),"")</f>
        <v/>
      </c>
      <c r="AZ21" s="192" t="str">
        <f>IFERROR(INDEX('I2019'!D$5:D$112,MATCH($A21,'I2019'!$A$5:$A$112,0)),"")</f>
        <v/>
      </c>
      <c r="BA21" s="192" t="str">
        <f>IFERROR(INDEX('I2019'!E$5:E$112,MATCH($A21,'I2019'!$A$5:$A$112,0)),"")</f>
        <v/>
      </c>
      <c r="BB21" s="192" t="str">
        <f>IFERROR(INDEX('I2019'!F$5:F$112,MATCH($A21,'I2019'!$A$5:$A$112,0)),"")</f>
        <v/>
      </c>
      <c r="BC21" s="192" t="str">
        <f>IFERROR(INDEX('I2019'!G$5:G$112,MATCH($A21,'I2019'!$A$5:$A$112,0)),"")</f>
        <v/>
      </c>
      <c r="BD21" s="192" t="str">
        <f>IFERROR(INDEX('I2019'!H$5:H$112,MATCH($A21,'I2019'!$A$5:$A$112,0)),"")</f>
        <v/>
      </c>
      <c r="BE21" s="192" t="str">
        <f>IFERROR(INDEX('I2019'!I$5:I$112,MATCH($A21,'I2019'!$A$5:$A$112,0)),"")</f>
        <v/>
      </c>
      <c r="BF21" s="192" t="str">
        <f>IFERROR(INDEX('I2019'!J$5:J$112,MATCH($A21,'I2019'!$A$5:$A$112,0)),"")</f>
        <v/>
      </c>
      <c r="BG21" s="192" t="str">
        <f>IFERROR(INDEX('I2019'!K$5:K$112,MATCH($A21,'I2019'!$A$5:$A$112,0)),"")</f>
        <v/>
      </c>
      <c r="BH21" s="192" t="str">
        <f>IFERROR(INDEX('I2019'!L$5:L$112,MATCH($A21,'I2019'!$A$5:$A$112,0)),"")</f>
        <v/>
      </c>
      <c r="BI21" s="192" t="str">
        <f>IFERROR(INDEX('I2019'!M$5:M$112,MATCH($A21,'I2019'!$A$5:$A$112,0)),"")</f>
        <v/>
      </c>
      <c r="BJ21" s="192"/>
      <c r="BK21" s="192"/>
      <c r="BL21" s="192"/>
      <c r="BM21" s="192"/>
      <c r="BN21" s="192"/>
      <c r="BO21" s="416"/>
      <c r="BP21" s="193"/>
      <c r="BQ21" s="193"/>
      <c r="BR21" s="193"/>
      <c r="BS21" s="193"/>
      <c r="BT21" s="193"/>
      <c r="BU21" s="193"/>
      <c r="BV21" s="193"/>
      <c r="BW21" s="193"/>
      <c r="BX21" s="193"/>
      <c r="BY21" s="193"/>
      <c r="BZ21" s="193"/>
      <c r="CA21" s="193"/>
      <c r="CB21" s="193"/>
      <c r="CC21" s="193"/>
      <c r="CD21" s="193"/>
      <c r="CE21" s="193"/>
      <c r="CF21" s="193"/>
      <c r="CG21" s="194"/>
      <c r="CH21" s="134"/>
    </row>
    <row r="22" spans="1:86" x14ac:dyDescent="0.3">
      <c r="A22" s="26" t="s">
        <v>104</v>
      </c>
      <c r="B22" s="78">
        <f>Analysis!D153</f>
        <v>342.86000000000058</v>
      </c>
      <c r="C22" s="78">
        <f>Analysis!E153</f>
        <v>-8595.1000000000022</v>
      </c>
      <c r="D22" s="78">
        <f>Analysis!F153</f>
        <v>-16784.059999999998</v>
      </c>
      <c r="E22" s="78">
        <f>Analysis!G153</f>
        <v>-12624.160000000003</v>
      </c>
      <c r="F22" s="78">
        <f>Analysis!H153</f>
        <v>-3035.59</v>
      </c>
      <c r="G22" s="78">
        <f>Analysis!I153</f>
        <v>-25048.490000000005</v>
      </c>
      <c r="H22" s="78">
        <f>Analysis!J153</f>
        <v>-10313.700000000004</v>
      </c>
      <c r="I22" s="78">
        <f>Analysis!K153</f>
        <v>-8114.5800000000017</v>
      </c>
      <c r="J22" s="78">
        <f>Analysis!L153</f>
        <v>1407.9500000000044</v>
      </c>
      <c r="K22" s="78">
        <f>Analysis!M153</f>
        <v>-898.88999999999942</v>
      </c>
      <c r="L22" s="78">
        <f>Analysis!N153</f>
        <v>-2993.7999999999956</v>
      </c>
      <c r="M22" s="78">
        <f>Analysis!O153</f>
        <v>-2437.4199999999983</v>
      </c>
      <c r="N22" s="78">
        <f>Analysis!P153</f>
        <v>-11688.580000000002</v>
      </c>
      <c r="O22" s="78">
        <f>Analysis!Q153</f>
        <v>9257.1699999999983</v>
      </c>
      <c r="P22" s="78">
        <f>Analysis!R153</f>
        <v>20470.550000000003</v>
      </c>
      <c r="Q22" s="78">
        <f>Analysis!S153</f>
        <v>9256.6700000000128</v>
      </c>
      <c r="R22" s="78">
        <f>Analysis!T153</f>
        <v>-10859.939999999988</v>
      </c>
      <c r="S22" s="78">
        <f>Analysis!U153</f>
        <v>13968.389999999985</v>
      </c>
      <c r="T22" s="78">
        <f>Analysis!V153</f>
        <v>182.78000000002794</v>
      </c>
      <c r="U22" s="78">
        <f>Analysis!W153</f>
        <v>-1344.3400000000256</v>
      </c>
      <c r="V22" s="78">
        <f>Analysis!X153</f>
        <v>-21401.229999999981</v>
      </c>
      <c r="W22" s="78">
        <f>Analysis!Y153</f>
        <v>-28697.37000000001</v>
      </c>
      <c r="X22" s="78">
        <f>Analysis!Z153</f>
        <v>3777.6100000000006</v>
      </c>
      <c r="Y22" s="78">
        <f>Analysis!AA153</f>
        <v>8119.3499999999767</v>
      </c>
      <c r="Z22" s="78">
        <f>Analysis!AB153</f>
        <v>-39921.069999999992</v>
      </c>
      <c r="AA22" s="78">
        <f>Analysis!AC153</f>
        <v>-26884.619999999995</v>
      </c>
      <c r="AB22" s="78">
        <f>Analysis!AD153</f>
        <v>-900.6200000000099</v>
      </c>
      <c r="AC22" s="78">
        <f>Analysis!AE153</f>
        <v>-30474.240000000005</v>
      </c>
      <c r="AD22" s="78">
        <f>Analysis!AF153</f>
        <v>7205.5899999999965</v>
      </c>
      <c r="AE22" s="78">
        <f>Analysis!AG153</f>
        <v>19534.87000000001</v>
      </c>
      <c r="AF22" s="78">
        <f>Analysis!AH153</f>
        <v>-13983.089999999997</v>
      </c>
      <c r="AG22" s="78">
        <f>Analysis!AI153</f>
        <v>6868.9400000000314</v>
      </c>
      <c r="AH22" s="78">
        <f>Analysis!AJ153</f>
        <v>-20287.920000000042</v>
      </c>
      <c r="AI22" s="78">
        <f>Analysis!AK153</f>
        <v>-61736.149999999994</v>
      </c>
      <c r="AJ22" s="78">
        <f>Analysis!AL153</f>
        <v>6781.7600000000093</v>
      </c>
      <c r="AK22" s="78">
        <f>Analysis!AM153</f>
        <v>-34710.179999999993</v>
      </c>
      <c r="AL22" s="78">
        <f>Analysis!AN153</f>
        <v>-24084.859999999957</v>
      </c>
      <c r="AM22" s="78">
        <f>Analysis!AO153</f>
        <v>-120336.90000000002</v>
      </c>
      <c r="AN22" s="78">
        <f>Analysis!AP153</f>
        <v>-240533.04999999987</v>
      </c>
      <c r="AO22" s="78">
        <f>Analysis!AQ153</f>
        <v>212637.57</v>
      </c>
      <c r="AP22" s="78">
        <f>Analysis!AR153</f>
        <v>111686.54999999993</v>
      </c>
      <c r="AQ22" s="78">
        <f>Analysis!AS153</f>
        <v>-116431.94999999995</v>
      </c>
      <c r="AR22" s="78">
        <f>Analysis!AT153</f>
        <v>-13057.410000000149</v>
      </c>
      <c r="AS22" s="78">
        <f>Analysis!AU153</f>
        <v>148033.96000000008</v>
      </c>
      <c r="AT22" s="78">
        <f>Analysis!AV153</f>
        <v>-251763.92000000004</v>
      </c>
      <c r="AU22" s="78">
        <f>Analysis!AW153</f>
        <v>-231150.30999999994</v>
      </c>
      <c r="AV22" s="78">
        <f>Analysis!AX153</f>
        <v>-113393.52000000002</v>
      </c>
      <c r="AW22" s="78">
        <f>Analysis!AY153</f>
        <v>-195752.88</v>
      </c>
      <c r="AX22" s="78">
        <f>Analysis!AZ153</f>
        <v>106970.81999999983</v>
      </c>
      <c r="AY22" s="78">
        <f>Analysis!BA153</f>
        <v>6052.3699999997625</v>
      </c>
      <c r="AZ22" s="78">
        <f>Analysis!BB153</f>
        <v>54665.840000000084</v>
      </c>
      <c r="BA22" s="78">
        <f>Analysis!BC153</f>
        <v>15514.499999999651</v>
      </c>
      <c r="BB22" s="78">
        <f>Analysis!BD153</f>
        <v>157664.85999999999</v>
      </c>
      <c r="BC22" s="78">
        <f>Analysis!BE153</f>
        <v>-62478.200000000303</v>
      </c>
      <c r="BD22" s="78">
        <f>Analysis!BF153</f>
        <v>126688.71999999986</v>
      </c>
      <c r="BE22" s="78">
        <f>Analysis!BG153</f>
        <v>-77056.519999999786</v>
      </c>
      <c r="BF22" s="78">
        <f>Analysis!BH153</f>
        <v>-210519.81999999972</v>
      </c>
      <c r="BG22" s="78">
        <f>Analysis!BI153</f>
        <v>205660.96999999997</v>
      </c>
      <c r="BH22" s="78">
        <f>Analysis!BJ153</f>
        <v>-271179.30000000005</v>
      </c>
      <c r="BI22" s="78">
        <f>Analysis!BK153</f>
        <v>-177443.96999999997</v>
      </c>
      <c r="BJ22" s="78">
        <f>Analysis!BL153</f>
        <v>274780.45999999973</v>
      </c>
      <c r="BK22" s="78">
        <f>Analysis!BM153</f>
        <v>-54501.39000000013</v>
      </c>
      <c r="BL22" s="78">
        <f>Analysis!BN153</f>
        <v>474845.78000000038</v>
      </c>
      <c r="BM22" s="78">
        <f>Analysis!BO153</f>
        <v>549680.60999999975</v>
      </c>
      <c r="BN22" s="78">
        <f>Analysis!BP153</f>
        <v>436286.33999999962</v>
      </c>
      <c r="BO22" s="398">
        <f>Analysis!BQ153</f>
        <v>697636.17999999982</v>
      </c>
      <c r="BP22" s="79">
        <f>Analysis!BR153</f>
        <v>191681.69284834387</v>
      </c>
      <c r="BQ22" s="79">
        <f>Analysis!BS153</f>
        <v>176708.74236955121</v>
      </c>
      <c r="BR22" s="79">
        <f>Analysis!BT153</f>
        <v>166769.97273313208</v>
      </c>
      <c r="BS22" s="79">
        <f>Analysis!BU153</f>
        <v>159951.79269859218</v>
      </c>
      <c r="BT22" s="79">
        <f>Analysis!BV153</f>
        <v>156444.73975610291</v>
      </c>
      <c r="BU22" s="79">
        <f>Analysis!BW153</f>
        <v>155245.7218125884</v>
      </c>
      <c r="BV22" s="79">
        <f>Analysis!BX153</f>
        <v>171913.09012239682</v>
      </c>
      <c r="BW22" s="79">
        <f>Analysis!BY153</f>
        <v>185853.58088131063</v>
      </c>
      <c r="BX22" s="79">
        <f>Analysis!BZ153</f>
        <v>198693.78757989616</v>
      </c>
      <c r="BY22" s="79">
        <f>Analysis!CA153</f>
        <v>208787.40194984782</v>
      </c>
      <c r="BZ22" s="79">
        <f>Analysis!CB153</f>
        <v>218024.49418348772</v>
      </c>
      <c r="CA22" s="79">
        <f>Analysis!CC153</f>
        <v>227175.25330377417</v>
      </c>
      <c r="CB22" s="79">
        <f>Analysis!CD153</f>
        <v>234896.54878537171</v>
      </c>
      <c r="CC22" s="79">
        <f>Analysis!CE153</f>
        <v>241547.81095819431</v>
      </c>
      <c r="CD22" s="79">
        <f>Analysis!CF153</f>
        <v>247722.04890090181</v>
      </c>
      <c r="CE22" s="79">
        <f>Analysis!CG153</f>
        <v>253490.74183391896</v>
      </c>
      <c r="CF22" s="79">
        <f>Analysis!CH153</f>
        <v>258991.76466866606</v>
      </c>
      <c r="CG22" s="175">
        <f>Analysis!CI153</f>
        <v>264279.84902717848</v>
      </c>
      <c r="CH22" s="139"/>
    </row>
    <row r="23" spans="1:86" x14ac:dyDescent="0.3">
      <c r="A23" s="76" t="s">
        <v>105</v>
      </c>
      <c r="B23" s="192"/>
      <c r="C23" s="192"/>
      <c r="D23" s="192"/>
      <c r="E23" s="192"/>
      <c r="F23" s="192"/>
      <c r="G23" s="192"/>
      <c r="H23" s="192"/>
      <c r="I23" s="192"/>
      <c r="J23" s="192"/>
      <c r="K23" s="192"/>
      <c r="L23" s="192"/>
      <c r="M23" s="192"/>
      <c r="N23" s="192"/>
      <c r="O23" s="192"/>
      <c r="P23" s="192"/>
      <c r="Q23" s="192"/>
      <c r="R23" s="192"/>
      <c r="S23" s="192"/>
      <c r="T23" s="192"/>
      <c r="U23" s="192"/>
      <c r="V23" s="192"/>
      <c r="W23" s="192"/>
      <c r="X23" s="192"/>
      <c r="Y23" s="192"/>
      <c r="Z23" s="192"/>
      <c r="AA23" s="192"/>
      <c r="AB23" s="192"/>
      <c r="AC23" s="192"/>
      <c r="AD23" s="192"/>
      <c r="AE23" s="192"/>
      <c r="AF23" s="192"/>
      <c r="AG23" s="192"/>
      <c r="AH23" s="192"/>
      <c r="AI23" s="192"/>
      <c r="AJ23" s="192"/>
      <c r="AK23" s="192"/>
      <c r="AL23" s="192"/>
      <c r="AM23" s="192"/>
      <c r="AN23" s="192"/>
      <c r="AO23" s="192"/>
      <c r="AP23" s="192"/>
      <c r="AQ23" s="192"/>
      <c r="AR23" s="192"/>
      <c r="AS23" s="192"/>
      <c r="AT23" s="192"/>
      <c r="AU23" s="192"/>
      <c r="AV23" s="192"/>
      <c r="AW23" s="192"/>
      <c r="AX23" s="192"/>
      <c r="AY23" s="192"/>
      <c r="AZ23" s="192"/>
      <c r="BA23" s="192"/>
      <c r="BB23" s="192"/>
      <c r="BC23" s="192"/>
      <c r="BD23" s="192"/>
      <c r="BE23" s="192"/>
      <c r="BF23" s="192"/>
      <c r="BG23" s="192"/>
      <c r="BH23" s="192"/>
      <c r="BI23" s="192"/>
      <c r="BJ23" s="192"/>
      <c r="BK23" s="192"/>
      <c r="BL23" s="192"/>
      <c r="BM23" s="192"/>
      <c r="BN23" s="192"/>
      <c r="BO23" s="416"/>
      <c r="BP23" s="193"/>
      <c r="BQ23" s="193"/>
      <c r="BR23" s="193"/>
      <c r="BS23" s="193"/>
      <c r="BT23" s="193"/>
      <c r="BU23" s="193"/>
      <c r="BV23" s="193"/>
      <c r="BW23" s="193"/>
      <c r="BX23" s="193"/>
      <c r="BY23" s="193"/>
      <c r="BZ23" s="193"/>
      <c r="CA23" s="193"/>
      <c r="CB23" s="193"/>
      <c r="CC23" s="193"/>
      <c r="CD23" s="193"/>
      <c r="CE23" s="193"/>
      <c r="CF23" s="193"/>
      <c r="CG23" s="194"/>
      <c r="CH23" s="134"/>
    </row>
    <row r="24" spans="1:86" x14ac:dyDescent="0.3">
      <c r="A24" s="26" t="s">
        <v>107</v>
      </c>
      <c r="B24" s="78">
        <f>Analysis!D157</f>
        <v>0</v>
      </c>
      <c r="C24" s="78">
        <f>Analysis!E157</f>
        <v>0</v>
      </c>
      <c r="D24" s="78">
        <f>Analysis!F157</f>
        <v>0.01</v>
      </c>
      <c r="E24" s="78">
        <f>Analysis!G157</f>
        <v>0</v>
      </c>
      <c r="F24" s="78">
        <f>Analysis!H157</f>
        <v>0</v>
      </c>
      <c r="G24" s="78">
        <f>Analysis!I157</f>
        <v>0</v>
      </c>
      <c r="H24" s="78">
        <f>Analysis!J157</f>
        <v>0</v>
      </c>
      <c r="I24" s="78">
        <f>Analysis!K157</f>
        <v>0</v>
      </c>
      <c r="J24" s="78">
        <f>Analysis!L157</f>
        <v>0</v>
      </c>
      <c r="K24" s="78">
        <f>Analysis!M157</f>
        <v>0.01</v>
      </c>
      <c r="L24" s="78">
        <f>Analysis!N157</f>
        <v>0</v>
      </c>
      <c r="M24" s="78">
        <f>Analysis!O157</f>
        <v>0.01</v>
      </c>
      <c r="N24" s="78">
        <f>Analysis!P157</f>
        <v>0.28000000000000003</v>
      </c>
      <c r="O24" s="78">
        <f>Analysis!Q157</f>
        <v>0.43</v>
      </c>
      <c r="P24" s="78">
        <f>Analysis!R157</f>
        <v>0.36</v>
      </c>
      <c r="Q24" s="78">
        <f>Analysis!S157</f>
        <v>26.18</v>
      </c>
      <c r="R24" s="78">
        <f>Analysis!T157</f>
        <v>0.56999999999999995</v>
      </c>
      <c r="S24" s="78">
        <f>Analysis!U157</f>
        <v>0.54</v>
      </c>
      <c r="T24" s="78">
        <f>Analysis!V157</f>
        <v>0.55000000000000004</v>
      </c>
      <c r="U24" s="78">
        <f>Analysis!W157</f>
        <v>0.17</v>
      </c>
      <c r="V24" s="78">
        <f>Analysis!X157</f>
        <v>0</v>
      </c>
      <c r="W24" s="78">
        <f>Analysis!Y157</f>
        <v>247.14</v>
      </c>
      <c r="X24" s="78">
        <f>Analysis!Z157</f>
        <v>55.97</v>
      </c>
      <c r="Y24" s="78">
        <f>Analysis!AA157</f>
        <v>0</v>
      </c>
      <c r="Z24" s="78" t="str">
        <f>Analysis!AB157</f>
        <v/>
      </c>
      <c r="AA24" s="78" t="str">
        <f>Analysis!AC157</f>
        <v/>
      </c>
      <c r="AB24" s="78" t="str">
        <f>Analysis!AD157</f>
        <v/>
      </c>
      <c r="AC24" s="78" t="str">
        <f>Analysis!AE157</f>
        <v/>
      </c>
      <c r="AD24" s="78" t="str">
        <f>Analysis!AF157</f>
        <v/>
      </c>
      <c r="AE24" s="78" t="str">
        <f>Analysis!AG157</f>
        <v/>
      </c>
      <c r="AF24" s="78" t="str">
        <f>Analysis!AH157</f>
        <v/>
      </c>
      <c r="AG24" s="78" t="str">
        <f>Analysis!AI157</f>
        <v/>
      </c>
      <c r="AH24" s="78" t="str">
        <f>Analysis!AJ157</f>
        <v/>
      </c>
      <c r="AI24" s="78" t="str">
        <f>Analysis!AK157</f>
        <v/>
      </c>
      <c r="AJ24" s="78" t="str">
        <f>Analysis!AL157</f>
        <v/>
      </c>
      <c r="AK24" s="78" t="str">
        <f>Analysis!AM157</f>
        <v/>
      </c>
      <c r="AL24" s="78">
        <f>Analysis!AN157</f>
        <v>7.43</v>
      </c>
      <c r="AM24" s="78">
        <f>Analysis!AO157</f>
        <v>12.45</v>
      </c>
      <c r="AN24" s="78">
        <f>Analysis!AP157</f>
        <v>8.6300000000000008</v>
      </c>
      <c r="AO24" s="78">
        <f>Analysis!AQ157</f>
        <v>6.08</v>
      </c>
      <c r="AP24" s="78">
        <f>Analysis!AR157</f>
        <v>8.18</v>
      </c>
      <c r="AQ24" s="78">
        <f>Analysis!AS157</f>
        <v>11.1</v>
      </c>
      <c r="AR24" s="78">
        <f>Analysis!AT157</f>
        <v>21.12</v>
      </c>
      <c r="AS24" s="78">
        <f>Analysis!AU157</f>
        <v>24.38</v>
      </c>
      <c r="AT24" s="78">
        <f>Analysis!AV157</f>
        <v>22.11</v>
      </c>
      <c r="AU24" s="78">
        <f>Analysis!AW157</f>
        <v>17.93</v>
      </c>
      <c r="AV24" s="78">
        <f>Analysis!AX157</f>
        <v>7.5</v>
      </c>
      <c r="AW24" s="78">
        <f>Analysis!AY157</f>
        <v>3.49</v>
      </c>
      <c r="AX24" s="78">
        <f>Analysis!AZ157</f>
        <v>2.81</v>
      </c>
      <c r="AY24" s="78">
        <f>Analysis!BA157</f>
        <v>2.5299999999999998</v>
      </c>
      <c r="AZ24" s="78">
        <f>Analysis!BB157</f>
        <v>2.81</v>
      </c>
      <c r="BA24" s="78">
        <f>Analysis!BC157</f>
        <v>2.72</v>
      </c>
      <c r="BB24" s="78">
        <f>Analysis!BD157</f>
        <v>2.8</v>
      </c>
      <c r="BC24" s="78">
        <f>Analysis!BE157</f>
        <v>2.72</v>
      </c>
      <c r="BD24" s="78">
        <f>Analysis!BF157</f>
        <v>317.82</v>
      </c>
      <c r="BE24" s="78">
        <f>Analysis!BG157</f>
        <v>2.8</v>
      </c>
      <c r="BF24" s="78">
        <f>Analysis!BH157</f>
        <v>2.72</v>
      </c>
      <c r="BG24" s="78">
        <f>Analysis!BI157</f>
        <v>2.16</v>
      </c>
      <c r="BH24" s="78">
        <f>Analysis!BJ157</f>
        <v>2.6</v>
      </c>
      <c r="BI24" s="78">
        <f>Analysis!BK157</f>
        <v>2.38</v>
      </c>
      <c r="BJ24" s="78">
        <f>Analysis!BL157</f>
        <v>2.54</v>
      </c>
      <c r="BK24" s="78">
        <f>Analysis!BM157</f>
        <v>2.38</v>
      </c>
      <c r="BL24" s="78">
        <f>Analysis!BN157</f>
        <v>1.44</v>
      </c>
      <c r="BM24" s="78">
        <f>Analysis!BO157</f>
        <v>3.44</v>
      </c>
      <c r="BN24" s="78">
        <f>Analysis!BP157</f>
        <v>27.06</v>
      </c>
      <c r="BO24" s="398">
        <f>Analysis!BQ157</f>
        <v>34.43</v>
      </c>
      <c r="BP24" s="79">
        <f>Analysis!BR157</f>
        <v>59.731666666666662</v>
      </c>
      <c r="BQ24" s="79">
        <f>Analysis!BS157</f>
        <v>16.348611111111111</v>
      </c>
      <c r="BR24" s="79">
        <f>Analysis!BT157</f>
        <v>18.206851851851852</v>
      </c>
      <c r="BS24" s="79">
        <f>Analysis!BU157</f>
        <v>20.348144290123457</v>
      </c>
      <c r="BT24" s="79">
        <f>Analysis!BV157</f>
        <v>22.856331340020574</v>
      </c>
      <c r="BU24" s="79">
        <f>Analysis!BW157</f>
        <v>25.702285370584704</v>
      </c>
      <c r="BV24" s="79">
        <f>Analysis!BX157</f>
        <v>28.996723306845134</v>
      </c>
      <c r="BW24" s="79">
        <f>Analysis!BY157</f>
        <v>29.625383734474127</v>
      </c>
      <c r="BX24" s="79">
        <f>Analysis!BZ157</f>
        <v>30.319765864405539</v>
      </c>
      <c r="BY24" s="79">
        <f>Analysis!CA157</f>
        <v>31.15034650516457</v>
      </c>
      <c r="BZ24" s="79">
        <f>Analysis!CB157</f>
        <v>31.883475532653513</v>
      </c>
      <c r="CA24" s="79">
        <f>Analysis!CC157</f>
        <v>30.709365312433203</v>
      </c>
      <c r="CB24" s="79">
        <f>Analysis!CD157</f>
        <v>28.82324590719454</v>
      </c>
      <c r="CC24" s="79">
        <f>Analysis!CE157</f>
        <v>26.247544177238531</v>
      </c>
      <c r="CD24" s="79">
        <f>Analysis!CF157</f>
        <v>27.072455266082482</v>
      </c>
      <c r="CE24" s="79">
        <f>Analysis!CG157</f>
        <v>27.8112555506017</v>
      </c>
      <c r="CF24" s="79">
        <f>Analysis!CH157</f>
        <v>28.433181488974888</v>
      </c>
      <c r="CG24" s="175">
        <f>Analysis!CI157</f>
        <v>28.897919001387748</v>
      </c>
      <c r="CH24" s="139"/>
    </row>
    <row r="25" spans="1:86" x14ac:dyDescent="0.3">
      <c r="A25" s="76" t="s">
        <v>108</v>
      </c>
      <c r="B25" s="192"/>
      <c r="C25" s="192"/>
      <c r="D25" s="192"/>
      <c r="E25" s="192"/>
      <c r="F25" s="192"/>
      <c r="G25" s="192"/>
      <c r="H25" s="192"/>
      <c r="I25" s="192"/>
      <c r="J25" s="192"/>
      <c r="K25" s="192"/>
      <c r="L25" s="192"/>
      <c r="M25" s="192"/>
      <c r="N25" s="192"/>
      <c r="O25" s="192"/>
      <c r="P25" s="192"/>
      <c r="Q25" s="192"/>
      <c r="R25" s="192"/>
      <c r="S25" s="192"/>
      <c r="T25" s="192"/>
      <c r="U25" s="192"/>
      <c r="V25" s="192"/>
      <c r="W25" s="192"/>
      <c r="X25" s="192"/>
      <c r="Y25" s="192"/>
      <c r="Z25" s="192"/>
      <c r="AA25" s="192"/>
      <c r="AB25" s="192"/>
      <c r="AC25" s="192"/>
      <c r="AD25" s="192"/>
      <c r="AE25" s="192"/>
      <c r="AF25" s="192"/>
      <c r="AG25" s="192"/>
      <c r="AH25" s="192"/>
      <c r="AI25" s="192"/>
      <c r="AJ25" s="192"/>
      <c r="AK25" s="192"/>
      <c r="AL25" s="192"/>
      <c r="AM25" s="192"/>
      <c r="AN25" s="192"/>
      <c r="AO25" s="192"/>
      <c r="AP25" s="192"/>
      <c r="AQ25" s="192"/>
      <c r="AR25" s="192"/>
      <c r="AS25" s="192"/>
      <c r="AT25" s="192"/>
      <c r="AU25" s="192"/>
      <c r="AV25" s="192"/>
      <c r="AW25" s="192"/>
      <c r="AX25" s="192"/>
      <c r="AY25" s="192"/>
      <c r="AZ25" s="192"/>
      <c r="BA25" s="192"/>
      <c r="BB25" s="192"/>
      <c r="BC25" s="192"/>
      <c r="BD25" s="192"/>
      <c r="BE25" s="192"/>
      <c r="BF25" s="192"/>
      <c r="BG25" s="192"/>
      <c r="BH25" s="192"/>
      <c r="BI25" s="192"/>
      <c r="BJ25" s="192"/>
      <c r="BK25" s="192"/>
      <c r="BL25" s="192"/>
      <c r="BM25" s="192"/>
      <c r="BN25" s="192"/>
      <c r="BO25" s="416"/>
      <c r="BP25" s="193"/>
      <c r="BQ25" s="193"/>
      <c r="BR25" s="193"/>
      <c r="BS25" s="193"/>
      <c r="BT25" s="193"/>
      <c r="BU25" s="193"/>
      <c r="BV25" s="193"/>
      <c r="BW25" s="193"/>
      <c r="BX25" s="193"/>
      <c r="BY25" s="193"/>
      <c r="BZ25" s="193"/>
      <c r="CA25" s="193"/>
      <c r="CB25" s="193"/>
      <c r="CC25" s="193"/>
      <c r="CD25" s="193"/>
      <c r="CE25" s="193"/>
      <c r="CF25" s="193"/>
      <c r="CG25" s="194"/>
      <c r="CH25" s="269"/>
    </row>
    <row r="26" spans="1:86" x14ac:dyDescent="0.3">
      <c r="A26" s="21" t="s">
        <v>113</v>
      </c>
      <c r="B26" s="24">
        <f>Analysis!D168</f>
        <v>87.59</v>
      </c>
      <c r="C26" s="24">
        <f>Analysis!E168</f>
        <v>88.32</v>
      </c>
      <c r="D26" s="24">
        <f>Analysis!F168</f>
        <v>97.94</v>
      </c>
      <c r="E26" s="24">
        <f>Analysis!G168</f>
        <v>89.8</v>
      </c>
      <c r="F26" s="24">
        <f>Analysis!H168</f>
        <v>90.54</v>
      </c>
      <c r="G26" s="24">
        <f>Analysis!I168</f>
        <v>195.64999999999998</v>
      </c>
      <c r="H26" s="24">
        <f>Analysis!J168</f>
        <v>230.7</v>
      </c>
      <c r="I26" s="24">
        <f>Analysis!K168</f>
        <v>247.14</v>
      </c>
      <c r="J26" s="24">
        <f>Analysis!L168</f>
        <v>346.23</v>
      </c>
      <c r="K26" s="24">
        <f>Analysis!M168</f>
        <v>551.70000000000005</v>
      </c>
      <c r="L26" s="24">
        <f>Analysis!N168</f>
        <v>581.78</v>
      </c>
      <c r="M26" s="24">
        <f>Analysis!O168</f>
        <v>621.33000000000004</v>
      </c>
      <c r="N26" s="24">
        <f>Analysis!P168</f>
        <v>10332.75</v>
      </c>
      <c r="O26" s="24">
        <f>Analysis!Q168</f>
        <v>1046.55</v>
      </c>
      <c r="P26" s="24">
        <f>Analysis!R168</f>
        <v>1077.17</v>
      </c>
      <c r="Q26" s="24">
        <f>Analysis!S168</f>
        <v>1007.0200000000001</v>
      </c>
      <c r="R26" s="24">
        <f>Analysis!T168</f>
        <v>846.59</v>
      </c>
      <c r="S26" s="24">
        <f>Analysis!U168</f>
        <v>766.73</v>
      </c>
      <c r="T26" s="24">
        <f>Analysis!V168</f>
        <v>705.69</v>
      </c>
      <c r="U26" s="24">
        <f>Analysis!W168</f>
        <v>828.25</v>
      </c>
      <c r="V26" s="24">
        <f>Analysis!X168</f>
        <v>788.65</v>
      </c>
      <c r="W26" s="24">
        <f>Analysis!Y168</f>
        <v>829.78</v>
      </c>
      <c r="X26" s="24">
        <f>Analysis!Z168</f>
        <v>808.04</v>
      </c>
      <c r="Y26" s="24">
        <f>Analysis!AA168</f>
        <v>761.81</v>
      </c>
      <c r="Z26" s="24">
        <f>Analysis!AB168</f>
        <v>7911.98</v>
      </c>
      <c r="AA26" s="24">
        <f>Analysis!AC168</f>
        <v>1390.1999999999998</v>
      </c>
      <c r="AB26" s="24">
        <f>Analysis!AD168</f>
        <v>2710.2599999999998</v>
      </c>
      <c r="AC26" s="24">
        <f>Analysis!AE168</f>
        <v>2628.6</v>
      </c>
      <c r="AD26" s="24">
        <f>Analysis!AF168</f>
        <v>3029.2099999999996</v>
      </c>
      <c r="AE26" s="24">
        <f>Analysis!AG168</f>
        <v>2429.4699999999998</v>
      </c>
      <c r="AF26" s="24">
        <f>Analysis!AH168</f>
        <v>2188.39</v>
      </c>
      <c r="AG26" s="24">
        <f>Analysis!AI168</f>
        <v>2140.34</v>
      </c>
      <c r="AH26" s="24">
        <f>Analysis!AJ168</f>
        <v>2091.7000000000003</v>
      </c>
      <c r="AI26" s="24">
        <f>Analysis!AK168</f>
        <v>2707.34</v>
      </c>
      <c r="AJ26" s="24">
        <f>Analysis!AL168</f>
        <v>2116.46</v>
      </c>
      <c r="AK26" s="24">
        <f>Analysis!AM168</f>
        <v>2063.0700000000002</v>
      </c>
      <c r="AL26" s="24">
        <f>Analysis!AN168</f>
        <v>2009.03</v>
      </c>
      <c r="AM26" s="24">
        <f>Analysis!AO168</f>
        <v>1954.33</v>
      </c>
      <c r="AN26" s="24">
        <f>Analysis!AP168</f>
        <v>1898.95</v>
      </c>
      <c r="AO26" s="24">
        <f>Analysis!AQ168</f>
        <v>1842.8999999999999</v>
      </c>
      <c r="AP26" s="24">
        <f>Analysis!AR168</f>
        <v>1786.1599999999999</v>
      </c>
      <c r="AQ26" s="24">
        <f>Analysis!AS168</f>
        <v>1728.72</v>
      </c>
      <c r="AR26" s="24">
        <f>Analysis!AT168</f>
        <v>1670.57</v>
      </c>
      <c r="AS26" s="24">
        <f>Analysis!AU168</f>
        <v>1611.72</v>
      </c>
      <c r="AT26" s="24">
        <f>Analysis!AV168</f>
        <v>1552.1399999999999</v>
      </c>
      <c r="AU26" s="24">
        <f>Analysis!AW168</f>
        <v>1491.83</v>
      </c>
      <c r="AV26" s="24">
        <f>Analysis!AX168</f>
        <v>1430.79</v>
      </c>
      <c r="AW26" s="24">
        <f>Analysis!AY168</f>
        <v>1368.99</v>
      </c>
      <c r="AX26" s="24">
        <f>Analysis!AZ168</f>
        <v>1306.44</v>
      </c>
      <c r="AY26" s="24">
        <f>Analysis!BA168</f>
        <v>1243.1199999999999</v>
      </c>
      <c r="AZ26" s="24">
        <f>Analysis!BB168</f>
        <v>1179.01</v>
      </c>
      <c r="BA26" s="24">
        <f>Analysis!BC168</f>
        <v>1114.1199999999999</v>
      </c>
      <c r="BB26" s="24">
        <f>Analysis!BD168</f>
        <v>1048.44</v>
      </c>
      <c r="BC26" s="24">
        <f>Analysis!BE168</f>
        <v>981.97</v>
      </c>
      <c r="BD26" s="24">
        <f>Analysis!BF168</f>
        <v>914.67000000000007</v>
      </c>
      <c r="BE26" s="24">
        <f>Analysis!BG168</f>
        <v>846.53</v>
      </c>
      <c r="BF26" s="24">
        <f>Analysis!BH168</f>
        <v>777.57999999999993</v>
      </c>
      <c r="BG26" s="24">
        <f>Analysis!BI168</f>
        <v>707.77</v>
      </c>
      <c r="BH26" s="24">
        <f>Analysis!BJ168</f>
        <v>647.11</v>
      </c>
      <c r="BI26" s="24">
        <f>Analysis!BK168</f>
        <v>605.69000000000005</v>
      </c>
      <c r="BJ26" s="24">
        <f>Analysis!BL168</f>
        <v>563.98</v>
      </c>
      <c r="BK26" s="24">
        <f>Analysis!BM168</f>
        <v>521.97</v>
      </c>
      <c r="BL26" s="24">
        <f>Analysis!BN168</f>
        <v>479.65</v>
      </c>
      <c r="BM26" s="24">
        <f>Analysis!BO168</f>
        <v>437.03</v>
      </c>
      <c r="BN26" s="24">
        <f>Analysis!BP168</f>
        <v>394.11</v>
      </c>
      <c r="BO26" s="399">
        <f>Analysis!BQ168</f>
        <v>350.88</v>
      </c>
      <c r="BP26" s="195">
        <f>Analysis!BR168</f>
        <v>603.91416666666669</v>
      </c>
      <c r="BQ26" s="195">
        <f>Analysis!BS168</f>
        <v>578.01784722222226</v>
      </c>
      <c r="BR26" s="195">
        <f>Analysis!BT168</f>
        <v>555.64183449074073</v>
      </c>
      <c r="BS26" s="195">
        <f>Analysis!BU168</f>
        <v>537.14698736496916</v>
      </c>
      <c r="BT26" s="195">
        <f>Analysis!BV168</f>
        <v>522.92840297871658</v>
      </c>
      <c r="BU26" s="195">
        <f>Analysis!BW168</f>
        <v>512.57993656027622</v>
      </c>
      <c r="BV26" s="195">
        <f>Analysis!BX168</f>
        <v>504.82076460696589</v>
      </c>
      <c r="BW26" s="195">
        <f>Analysis!BY168</f>
        <v>499.89082832421309</v>
      </c>
      <c r="BX26" s="195">
        <f>Analysis!BZ168</f>
        <v>498.05089735123079</v>
      </c>
      <c r="BY26" s="195">
        <f>Analysis!CA168</f>
        <v>499.5843054638334</v>
      </c>
      <c r="BZ26" s="195">
        <f>Analysis!CB168</f>
        <v>504.79716425248625</v>
      </c>
      <c r="CA26" s="195">
        <f>Analysis!CC168</f>
        <v>514.02109460686006</v>
      </c>
      <c r="CB26" s="195">
        <f>Analysis!CD168</f>
        <v>527.61618582409847</v>
      </c>
      <c r="CC26" s="195">
        <f>Analysis!CE168</f>
        <v>521.25802075388447</v>
      </c>
      <c r="CD26" s="195">
        <f>Analysis!CF168</f>
        <v>516.52803521485635</v>
      </c>
      <c r="CE26" s="195">
        <f>Analysis!CG168</f>
        <v>513.26855194186589</v>
      </c>
      <c r="CF26" s="195">
        <f>Analysis!CH168</f>
        <v>511.27868232327398</v>
      </c>
      <c r="CG26" s="196">
        <f>Analysis!CI168</f>
        <v>510.3078722686538</v>
      </c>
      <c r="CH26" s="135"/>
    </row>
    <row r="27" spans="1:86" x14ac:dyDescent="0.3">
      <c r="A27" s="76" t="s">
        <v>261</v>
      </c>
      <c r="B27" s="192" t="str">
        <f>IFERROR(INDEX('I2015'!B$5:B$73,MATCH($A27,'I2015'!$A$5:$A$73,0)),"")</f>
        <v/>
      </c>
      <c r="C27" s="192" t="str">
        <f>IFERROR(INDEX('I2015'!C$5:C$73,MATCH($A27,'I2015'!$A$5:$A$73,0)),"")</f>
        <v/>
      </c>
      <c r="D27" s="192" t="str">
        <f>IFERROR(INDEX('I2015'!D$5:D$73,MATCH($A27,'I2015'!$A$5:$A$73,0)),"")</f>
        <v/>
      </c>
      <c r="E27" s="192" t="str">
        <f>IFERROR(INDEX('I2015'!E$5:E$73,MATCH($A27,'I2015'!$A$5:$A$73,0)),"")</f>
        <v/>
      </c>
      <c r="F27" s="192" t="str">
        <f>IFERROR(INDEX('I2015'!F$5:F$73,MATCH($A27,'I2015'!$A$5:$A$73,0)),"")</f>
        <v/>
      </c>
      <c r="G27" s="192" t="str">
        <f>IFERROR(INDEX('I2015'!G$5:G$73,MATCH($A27,'I2015'!$A$5:$A$73,0)),"")</f>
        <v/>
      </c>
      <c r="H27" s="192" t="str">
        <f>IFERROR(INDEX('I2015'!H$5:H$73,MATCH($A27,'I2015'!$A$5:$A$73,0)),"")</f>
        <v/>
      </c>
      <c r="I27" s="192" t="str">
        <f>IFERROR(INDEX('I2015'!I$5:I$73,MATCH($A27,'I2015'!$A$5:$A$73,0)),"")</f>
        <v/>
      </c>
      <c r="J27" s="192" t="str">
        <f>IFERROR(INDEX('I2015'!J$5:J$73,MATCH($A27,'I2015'!$A$5:$A$73,0)),"")</f>
        <v/>
      </c>
      <c r="K27" s="192" t="str">
        <f>IFERROR(INDEX('I2015'!K$5:K$73,MATCH($A27,'I2015'!$A$5:$A$73,0)),"")</f>
        <v/>
      </c>
      <c r="L27" s="192" t="str">
        <f>IFERROR(INDEX('I2015'!L$5:L$73,MATCH($A27,'I2015'!$A$5:$A$73,0)),"")</f>
        <v/>
      </c>
      <c r="M27" s="192" t="str">
        <f>IFERROR(INDEX('I2015'!M$5:M$73,MATCH($A27,'I2015'!$A$5:$A$73,0)),"")</f>
        <v/>
      </c>
      <c r="N27" s="192" t="str">
        <f>IFERROR(INDEX('I2016'!B$5:B$90,MATCH($A27,'I2016'!$A$5:$A$90,0)),"")</f>
        <v/>
      </c>
      <c r="O27" s="192" t="str">
        <f>IFERROR(INDEX('I2016'!C$5:C$90,MATCH($A27,'I2016'!$A$5:$A$90,0)),"")</f>
        <v/>
      </c>
      <c r="P27" s="192" t="str">
        <f>IFERROR(INDEX('I2016'!D$5:D$90,MATCH($A27,'I2016'!$A$5:$A$90,0)),"")</f>
        <v/>
      </c>
      <c r="Q27" s="192" t="str">
        <f>IFERROR(INDEX('I2016'!E$5:E$90,MATCH($A27,'I2016'!$A$5:$A$90,0)),"")</f>
        <v/>
      </c>
      <c r="R27" s="192" t="str">
        <f>IFERROR(INDEX('I2016'!F$5:F$90,MATCH($A27,'I2016'!$A$5:$A$90,0)),"")</f>
        <v/>
      </c>
      <c r="S27" s="192" t="str">
        <f>IFERROR(INDEX('I2016'!G$5:G$90,MATCH($A27,'I2016'!$A$5:$A$90,0)),"")</f>
        <v/>
      </c>
      <c r="T27" s="192" t="str">
        <f>IFERROR(INDEX('I2016'!H$5:H$90,MATCH($A27,'I2016'!$A$5:$A$90,0)),"")</f>
        <v/>
      </c>
      <c r="U27" s="192" t="str">
        <f>IFERROR(INDEX('I2016'!I$5:I$90,MATCH($A27,'I2016'!$A$5:$A$90,0)),"")</f>
        <v/>
      </c>
      <c r="V27" s="192" t="str">
        <f>IFERROR(INDEX('I2016'!J$5:J$90,MATCH($A27,'I2016'!$A$5:$A$90,0)),"")</f>
        <v/>
      </c>
      <c r="W27" s="192" t="str">
        <f>IFERROR(INDEX('I2016'!K$5:K$90,MATCH($A27,'I2016'!$A$5:$A$90,0)),"")</f>
        <v/>
      </c>
      <c r="X27" s="192" t="str">
        <f>IFERROR(INDEX('I2016'!L$5:L$90,MATCH($A27,'I2016'!$A$5:$A$90,0)),"")</f>
        <v/>
      </c>
      <c r="Y27" s="192" t="str">
        <f>IFERROR(INDEX('I2016'!M$5:M$90,MATCH($A27,'I2016'!$A$5:$A$90,0)),"")</f>
        <v/>
      </c>
      <c r="Z27" s="192" t="str">
        <f>IFERROR(INDEX('I2017'!B$5:B$96,MATCH($A27,'I2017'!$A$5:$A$96,0)),"")</f>
        <v/>
      </c>
      <c r="AA27" s="192" t="str">
        <f>IFERROR(INDEX('I2017'!C$5:C$96,MATCH($A27,'I2017'!$A$5:$A$96,0)),"")</f>
        <v/>
      </c>
      <c r="AB27" s="192" t="str">
        <f>IFERROR(INDEX('I2017'!D$5:D$96,MATCH($A27,'I2017'!$A$5:$A$96,0)),"")</f>
        <v/>
      </c>
      <c r="AC27" s="192" t="str">
        <f>IFERROR(INDEX('I2017'!E$5:E$96,MATCH($A27,'I2017'!$A$5:$A$96,0)),"")</f>
        <v/>
      </c>
      <c r="AD27" s="192" t="str">
        <f>IFERROR(INDEX('I2017'!F$5:F$96,MATCH($A27,'I2017'!$A$5:$A$96,0)),"")</f>
        <v/>
      </c>
      <c r="AE27" s="192" t="str">
        <f>IFERROR(INDEX('I2017'!G$5:G$96,MATCH($A27,'I2017'!$A$5:$A$96,0)),"")</f>
        <v/>
      </c>
      <c r="AF27" s="192" t="str">
        <f>IFERROR(INDEX('I2017'!H$5:H$96,MATCH($A27,'I2017'!$A$5:$A$96,0)),"")</f>
        <v/>
      </c>
      <c r="AG27" s="192" t="str">
        <f>IFERROR(INDEX('I2017'!I$5:I$96,MATCH($A27,'I2017'!$A$5:$A$96,0)),"")</f>
        <v/>
      </c>
      <c r="AH27" s="192" t="str">
        <f>IFERROR(INDEX('I2017'!J$5:J$96,MATCH($A27,'I2017'!$A$5:$A$96,0)),"")</f>
        <v/>
      </c>
      <c r="AI27" s="192" t="str">
        <f>IFERROR(INDEX('I2017'!K$5:K$96,MATCH($A27,'I2017'!$A$5:$A$96,0)),"")</f>
        <v/>
      </c>
      <c r="AJ27" s="192" t="str">
        <f>IFERROR(INDEX('I2017'!L$5:L$96,MATCH($A27,'I2017'!$A$5:$A$96,0)),"")</f>
        <v/>
      </c>
      <c r="AK27" s="192" t="str">
        <f>IFERROR(INDEX('I2017'!M$5:M$96,MATCH($A27,'I2017'!$A$5:$A$96,0)),"")</f>
        <v/>
      </c>
      <c r="AL27" s="192" t="str">
        <f>IFERROR(INDEX('I2018'!B$5:B$107,MATCH($A27,'I2018'!$A$5:$A$107,0)),"")</f>
        <v/>
      </c>
      <c r="AM27" s="192" t="str">
        <f>IFERROR(INDEX('I2018'!C$5:C$107,MATCH($A27,'I2018'!$A$5:$A$107,0)),"")</f>
        <v/>
      </c>
      <c r="AN27" s="192" t="str">
        <f>IFERROR(INDEX('I2018'!D$5:D$107,MATCH($A27,'I2018'!$A$5:$A$107,0)),"")</f>
        <v/>
      </c>
      <c r="AO27" s="192" t="str">
        <f>IFERROR(INDEX('I2018'!E$5:E$107,MATCH($A27,'I2018'!$A$5:$A$107,0)),"")</f>
        <v/>
      </c>
      <c r="AP27" s="192" t="str">
        <f>IFERROR(INDEX('I2018'!F$5:F$107,MATCH($A27,'I2018'!$A$5:$A$107,0)),"")</f>
        <v/>
      </c>
      <c r="AQ27" s="192" t="str">
        <f>IFERROR(INDEX('I2018'!G$5:G$107,MATCH($A27,'I2018'!$A$5:$A$107,0)),"")</f>
        <v/>
      </c>
      <c r="AR27" s="192" t="str">
        <f>IFERROR(INDEX('I2018'!H$5:H$107,MATCH($A27,'I2018'!$A$5:$A$107,0)),"")</f>
        <v/>
      </c>
      <c r="AS27" s="192" t="str">
        <f>IFERROR(INDEX('I2018'!I$5:I$107,MATCH($A27,'I2018'!$A$5:$A$107,0)),"")</f>
        <v/>
      </c>
      <c r="AT27" s="192" t="str">
        <f>IFERROR(INDEX('I2018'!J$5:J$107,MATCH($A27,'I2018'!$A$5:$A$107,0)),"")</f>
        <v/>
      </c>
      <c r="AU27" s="192" t="str">
        <f>IFERROR(INDEX('I2018'!K$5:K$107,MATCH($A27,'I2018'!$A$5:$A$107,0)),"")</f>
        <v/>
      </c>
      <c r="AV27" s="192" t="str">
        <f>IFERROR(INDEX('I2018'!L$5:L$107,MATCH($A27,'I2018'!$A$5:$A$107,0)),"")</f>
        <v/>
      </c>
      <c r="AW27" s="192" t="str">
        <f>IFERROR(INDEX('I2018'!M$5:M$107,MATCH($A27,'I2018'!$A$5:$A$107,0)),"")</f>
        <v/>
      </c>
      <c r="AX27" s="192" t="str">
        <f>IFERROR(INDEX('I2019'!B$5:B$112,MATCH($A27,'I2019'!$A$5:$A$112,0)),"")</f>
        <v/>
      </c>
      <c r="AY27" s="192" t="str">
        <f>IFERROR(INDEX('I2019'!C$5:C$112,MATCH($A27,'I2019'!$A$5:$A$112,0)),"")</f>
        <v/>
      </c>
      <c r="AZ27" s="192" t="str">
        <f>IFERROR(INDEX('I2019'!D$5:D$112,MATCH($A27,'I2019'!$A$5:$A$112,0)),"")</f>
        <v/>
      </c>
      <c r="BA27" s="192" t="str">
        <f>IFERROR(INDEX('I2019'!E$5:E$112,MATCH($A27,'I2019'!$A$5:$A$112,0)),"")</f>
        <v/>
      </c>
      <c r="BB27" s="192" t="str">
        <f>IFERROR(INDEX('I2019'!F$5:F$112,MATCH($A27,'I2019'!$A$5:$A$112,0)),"")</f>
        <v/>
      </c>
      <c r="BC27" s="192" t="str">
        <f>IFERROR(INDEX('I2019'!G$5:G$112,MATCH($A27,'I2019'!$A$5:$A$112,0)),"")</f>
        <v/>
      </c>
      <c r="BD27" s="192" t="str">
        <f>IFERROR(INDEX('I2019'!H$5:H$112,MATCH($A27,'I2019'!$A$5:$A$112,0)),"")</f>
        <v/>
      </c>
      <c r="BE27" s="192" t="str">
        <f>IFERROR(INDEX('I2019'!I$5:I$112,MATCH($A27,'I2019'!$A$5:$A$112,0)),"")</f>
        <v/>
      </c>
      <c r="BF27" s="192" t="str">
        <f>IFERROR(INDEX('I2019'!J$5:J$112,MATCH($A27,'I2019'!$A$5:$A$112,0)),"")</f>
        <v/>
      </c>
      <c r="BG27" s="192" t="str">
        <f>IFERROR(INDEX('I2019'!K$5:K$112,MATCH($A27,'I2019'!$A$5:$A$112,0)),"")</f>
        <v/>
      </c>
      <c r="BH27" s="192" t="str">
        <f>IFERROR(INDEX('I2019'!L$5:L$112,MATCH($A27,'I2019'!$A$5:$A$112,0)),"")</f>
        <v/>
      </c>
      <c r="BI27" s="192" t="str">
        <f>IFERROR(INDEX('I2019'!M$5:M$112,MATCH($A27,'I2019'!$A$5:$A$112,0)),"")</f>
        <v/>
      </c>
      <c r="BJ27" s="192"/>
      <c r="BK27" s="192"/>
      <c r="BL27" s="192"/>
      <c r="BM27" s="192"/>
      <c r="BN27" s="192"/>
      <c r="BO27" s="416"/>
      <c r="BP27" s="193"/>
      <c r="BQ27" s="193"/>
      <c r="BR27" s="193"/>
      <c r="BS27" s="193"/>
      <c r="BT27" s="193"/>
      <c r="BU27" s="193"/>
      <c r="BV27" s="193"/>
      <c r="BW27" s="193"/>
      <c r="BX27" s="193"/>
      <c r="BY27" s="193"/>
      <c r="BZ27" s="193"/>
      <c r="CA27" s="193"/>
      <c r="CB27" s="193"/>
      <c r="CC27" s="193"/>
      <c r="CD27" s="193"/>
      <c r="CE27" s="193"/>
      <c r="CF27" s="193"/>
      <c r="CG27" s="194"/>
      <c r="CH27" s="269"/>
    </row>
    <row r="28" spans="1:86" x14ac:dyDescent="0.3">
      <c r="A28" s="21" t="s">
        <v>114</v>
      </c>
      <c r="B28" s="142">
        <f>Analysis!D170</f>
        <v>-87.59</v>
      </c>
      <c r="C28" s="142">
        <f>Analysis!E170</f>
        <v>-88.32</v>
      </c>
      <c r="D28" s="142">
        <f>Analysis!F170</f>
        <v>-97.929999999999993</v>
      </c>
      <c r="E28" s="142">
        <f>Analysis!G170</f>
        <v>-89.8</v>
      </c>
      <c r="F28" s="142">
        <f>Analysis!H170</f>
        <v>-90.54</v>
      </c>
      <c r="G28" s="142">
        <f>Analysis!I170</f>
        <v>-195.64999999999998</v>
      </c>
      <c r="H28" s="142">
        <f>Analysis!J170</f>
        <v>-230.7</v>
      </c>
      <c r="I28" s="142">
        <f>Analysis!K170</f>
        <v>-247.14</v>
      </c>
      <c r="J28" s="142">
        <f>Analysis!L170</f>
        <v>-346.23</v>
      </c>
      <c r="K28" s="142">
        <f>Analysis!M170</f>
        <v>-551.69000000000005</v>
      </c>
      <c r="L28" s="142">
        <f>Analysis!N170</f>
        <v>-581.78</v>
      </c>
      <c r="M28" s="142">
        <f>Analysis!O170</f>
        <v>-621.32000000000005</v>
      </c>
      <c r="N28" s="142">
        <f>Analysis!P170</f>
        <v>-10332.469999999999</v>
      </c>
      <c r="O28" s="142">
        <f>Analysis!Q170</f>
        <v>-1046.1199999999999</v>
      </c>
      <c r="P28" s="142">
        <f>Analysis!R170</f>
        <v>-1076.8100000000002</v>
      </c>
      <c r="Q28" s="142">
        <f>Analysis!S170</f>
        <v>-980.84000000000015</v>
      </c>
      <c r="R28" s="142">
        <f>Analysis!T170</f>
        <v>-846.02</v>
      </c>
      <c r="S28" s="142">
        <f>Analysis!U170</f>
        <v>-766.19</v>
      </c>
      <c r="T28" s="142">
        <f>Analysis!V170</f>
        <v>-705.1400000000001</v>
      </c>
      <c r="U28" s="142">
        <f>Analysis!W170</f>
        <v>-828.08</v>
      </c>
      <c r="V28" s="142">
        <f>Analysis!X170</f>
        <v>-788.65</v>
      </c>
      <c r="W28" s="142">
        <f>Analysis!Y170</f>
        <v>-582.64</v>
      </c>
      <c r="X28" s="142">
        <f>Analysis!Z170</f>
        <v>-752.06999999999994</v>
      </c>
      <c r="Y28" s="142">
        <f>Analysis!AA170</f>
        <v>-761.81</v>
      </c>
      <c r="Z28" s="142">
        <f>Analysis!AB170</f>
        <v>-7911.98</v>
      </c>
      <c r="AA28" s="142">
        <f>Analysis!AC170</f>
        <v>-1390.1999999999998</v>
      </c>
      <c r="AB28" s="142">
        <f>Analysis!AD170</f>
        <v>-2710.2599999999998</v>
      </c>
      <c r="AC28" s="142">
        <f>Analysis!AE170</f>
        <v>-2628.6</v>
      </c>
      <c r="AD28" s="142">
        <f>Analysis!AF170</f>
        <v>-3029.2099999999996</v>
      </c>
      <c r="AE28" s="142">
        <f>Analysis!AG170</f>
        <v>-2429.4699999999998</v>
      </c>
      <c r="AF28" s="142">
        <f>Analysis!AH170</f>
        <v>-2188.39</v>
      </c>
      <c r="AG28" s="142">
        <f>Analysis!AI170</f>
        <v>-2140.34</v>
      </c>
      <c r="AH28" s="142">
        <f>Analysis!AJ170</f>
        <v>-2091.7000000000003</v>
      </c>
      <c r="AI28" s="142">
        <f>Analysis!AK170</f>
        <v>-2707.34</v>
      </c>
      <c r="AJ28" s="142">
        <f>Analysis!AL170</f>
        <v>-2116.46</v>
      </c>
      <c r="AK28" s="142">
        <f>Analysis!AM170</f>
        <v>-2063.0700000000002</v>
      </c>
      <c r="AL28" s="142">
        <f>Analysis!AN170</f>
        <v>-2001.6</v>
      </c>
      <c r="AM28" s="142">
        <f>Analysis!AO170</f>
        <v>-1941.8799999999999</v>
      </c>
      <c r="AN28" s="142">
        <f>Analysis!AP170</f>
        <v>-1890.32</v>
      </c>
      <c r="AO28" s="142">
        <f>Analysis!AQ170</f>
        <v>-1836.82</v>
      </c>
      <c r="AP28" s="142">
        <f>Analysis!AR170</f>
        <v>-1777.9799999999998</v>
      </c>
      <c r="AQ28" s="142">
        <f>Analysis!AS170</f>
        <v>-1717.6200000000001</v>
      </c>
      <c r="AR28" s="142">
        <f>Analysis!AT170</f>
        <v>-1649.45</v>
      </c>
      <c r="AS28" s="142">
        <f>Analysis!AU170</f>
        <v>-1587.34</v>
      </c>
      <c r="AT28" s="142">
        <f>Analysis!AV170</f>
        <v>-1530.03</v>
      </c>
      <c r="AU28" s="142">
        <f>Analysis!AW170</f>
        <v>-1473.8999999999999</v>
      </c>
      <c r="AV28" s="142">
        <f>Analysis!AX170</f>
        <v>-1423.29</v>
      </c>
      <c r="AW28" s="142">
        <f>Analysis!AY170</f>
        <v>-1365.5</v>
      </c>
      <c r="AX28" s="142">
        <f>Analysis!AZ170</f>
        <v>-1303.6300000000001</v>
      </c>
      <c r="AY28" s="142">
        <f>Analysis!BA170</f>
        <v>-1240.5899999999999</v>
      </c>
      <c r="AZ28" s="142">
        <f>Analysis!BB170</f>
        <v>-1176.2</v>
      </c>
      <c r="BA28" s="142">
        <f>Analysis!BC170</f>
        <v>-1111.3999999999999</v>
      </c>
      <c r="BB28" s="142">
        <f>Analysis!BD170</f>
        <v>-1045.6400000000001</v>
      </c>
      <c r="BC28" s="142">
        <f>Analysis!BE170</f>
        <v>-979.25</v>
      </c>
      <c r="BD28" s="142">
        <f>Analysis!BF170</f>
        <v>-596.85000000000014</v>
      </c>
      <c r="BE28" s="142">
        <f>Analysis!BG170</f>
        <v>-843.73</v>
      </c>
      <c r="BF28" s="142">
        <f>Analysis!BH170</f>
        <v>-774.8599999999999</v>
      </c>
      <c r="BG28" s="142">
        <f>Analysis!BI170</f>
        <v>-705.61</v>
      </c>
      <c r="BH28" s="142">
        <f>Analysis!BJ170</f>
        <v>-644.51</v>
      </c>
      <c r="BI28" s="142">
        <f>Analysis!BK170</f>
        <v>-603.31000000000006</v>
      </c>
      <c r="BJ28" s="142">
        <f>Analysis!BL170</f>
        <v>-561.44000000000005</v>
      </c>
      <c r="BK28" s="142">
        <f>Analysis!BM170</f>
        <v>-519.59</v>
      </c>
      <c r="BL28" s="142">
        <f>Analysis!BN170</f>
        <v>-478.21</v>
      </c>
      <c r="BM28" s="142">
        <f>Analysis!BO170</f>
        <v>-433.59</v>
      </c>
      <c r="BN28" s="142">
        <f>Analysis!BP170</f>
        <v>-367.05</v>
      </c>
      <c r="BO28" s="401">
        <f>Analysis!BQ170</f>
        <v>-316.45</v>
      </c>
      <c r="BP28" s="197">
        <f>Analysis!BR170</f>
        <v>-544.1825</v>
      </c>
      <c r="BQ28" s="197">
        <f>Analysis!BS170</f>
        <v>-561.6692361111111</v>
      </c>
      <c r="BR28" s="197">
        <f>Analysis!BT170</f>
        <v>-537.43498263888887</v>
      </c>
      <c r="BS28" s="197">
        <f>Analysis!BU170</f>
        <v>-516.79884307484576</v>
      </c>
      <c r="BT28" s="197">
        <f>Analysis!BV170</f>
        <v>-500.072071638696</v>
      </c>
      <c r="BU28" s="197">
        <f>Analysis!BW170</f>
        <v>-486.87765118969151</v>
      </c>
      <c r="BV28" s="197">
        <f>Analysis!BX170</f>
        <v>-475.82404130012077</v>
      </c>
      <c r="BW28" s="197">
        <f>Analysis!BY170</f>
        <v>-470.26544458973899</v>
      </c>
      <c r="BX28" s="197">
        <f>Analysis!BZ170</f>
        <v>-467.73113148682523</v>
      </c>
      <c r="BY28" s="197">
        <f>Analysis!CA170</f>
        <v>-468.43395895866882</v>
      </c>
      <c r="BZ28" s="197">
        <f>Analysis!CB170</f>
        <v>-472.91368871983275</v>
      </c>
      <c r="CA28" s="197">
        <f>Analysis!CC170</f>
        <v>-483.31172929442687</v>
      </c>
      <c r="CB28" s="197">
        <f>Analysis!CD170</f>
        <v>-498.79293991690395</v>
      </c>
      <c r="CC28" s="197">
        <f>Analysis!CE170</f>
        <v>-495.01047657664594</v>
      </c>
      <c r="CD28" s="197">
        <f>Analysis!CF170</f>
        <v>-489.45557994877385</v>
      </c>
      <c r="CE28" s="197">
        <f>Analysis!CG170</f>
        <v>-485.45729639126421</v>
      </c>
      <c r="CF28" s="197">
        <f>Analysis!CH170</f>
        <v>-482.84550083429912</v>
      </c>
      <c r="CG28" s="198">
        <f>Analysis!CI170</f>
        <v>-481.40995326726602</v>
      </c>
      <c r="CH28" s="270"/>
    </row>
    <row r="29" spans="1:86" x14ac:dyDescent="0.3">
      <c r="A29" s="21" t="s">
        <v>115</v>
      </c>
      <c r="B29" s="24">
        <f>Analysis!D171</f>
        <v>255.27000000000058</v>
      </c>
      <c r="C29" s="24">
        <f>Analysis!E171</f>
        <v>-8683.4200000000019</v>
      </c>
      <c r="D29" s="24">
        <f>Analysis!F171</f>
        <v>-16881.989999999998</v>
      </c>
      <c r="E29" s="24">
        <f>Analysis!G171</f>
        <v>-12713.960000000003</v>
      </c>
      <c r="F29" s="24">
        <f>Analysis!H171</f>
        <v>-3126.13</v>
      </c>
      <c r="G29" s="24">
        <f>Analysis!I171</f>
        <v>-25244.140000000007</v>
      </c>
      <c r="H29" s="24">
        <f>Analysis!J171</f>
        <v>-10544.400000000005</v>
      </c>
      <c r="I29" s="24">
        <f>Analysis!K171</f>
        <v>-8361.7200000000012</v>
      </c>
      <c r="J29" s="24">
        <f>Analysis!L171</f>
        <v>1061.7200000000043</v>
      </c>
      <c r="K29" s="24">
        <f>Analysis!M171</f>
        <v>-1450.5799999999995</v>
      </c>
      <c r="L29" s="24">
        <f>Analysis!N171</f>
        <v>-3575.5799999999954</v>
      </c>
      <c r="M29" s="24">
        <f>Analysis!O171</f>
        <v>-3058.7399999999984</v>
      </c>
      <c r="N29" s="24">
        <f>Analysis!P171</f>
        <v>-22021.050000000003</v>
      </c>
      <c r="O29" s="24">
        <f>Analysis!Q171</f>
        <v>8211.0499999999993</v>
      </c>
      <c r="P29" s="24">
        <f>Analysis!R171</f>
        <v>19393.740000000002</v>
      </c>
      <c r="Q29" s="24">
        <f>Analysis!S171</f>
        <v>8275.8300000000127</v>
      </c>
      <c r="R29" s="24">
        <f>Analysis!T171</f>
        <v>-11705.959999999988</v>
      </c>
      <c r="S29" s="24">
        <f>Analysis!U171</f>
        <v>13202.199999999984</v>
      </c>
      <c r="T29" s="24">
        <f>Analysis!V171</f>
        <v>-522.35999999997216</v>
      </c>
      <c r="U29" s="24">
        <f>Analysis!W171</f>
        <v>-2172.4200000000255</v>
      </c>
      <c r="V29" s="24">
        <f>Analysis!X171</f>
        <v>-22189.879999999983</v>
      </c>
      <c r="W29" s="24">
        <f>Analysis!Y171</f>
        <v>-29280.010000000009</v>
      </c>
      <c r="X29" s="24">
        <f>Analysis!Z171</f>
        <v>3025.5400000000009</v>
      </c>
      <c r="Y29" s="24">
        <f>Analysis!AA171</f>
        <v>7357.5399999999772</v>
      </c>
      <c r="Z29" s="24">
        <f>Analysis!AB171</f>
        <v>-47833.049999999988</v>
      </c>
      <c r="AA29" s="24">
        <f>Analysis!AC171</f>
        <v>-28274.819999999996</v>
      </c>
      <c r="AB29" s="24">
        <f>Analysis!AD171</f>
        <v>-3610.8800000000097</v>
      </c>
      <c r="AC29" s="24">
        <f>Analysis!AE171</f>
        <v>-33102.840000000004</v>
      </c>
      <c r="AD29" s="24">
        <f>Analysis!AF171</f>
        <v>4176.3799999999974</v>
      </c>
      <c r="AE29" s="24">
        <f>Analysis!AG171</f>
        <v>17105.400000000009</v>
      </c>
      <c r="AF29" s="24">
        <f>Analysis!AH171</f>
        <v>-16171.479999999996</v>
      </c>
      <c r="AG29" s="24">
        <f>Analysis!AI171</f>
        <v>4728.6000000000313</v>
      </c>
      <c r="AH29" s="24">
        <f>Analysis!AJ171</f>
        <v>-22379.620000000043</v>
      </c>
      <c r="AI29" s="24">
        <f>Analysis!AK171</f>
        <v>-64443.489999999991</v>
      </c>
      <c r="AJ29" s="24">
        <f>Analysis!AL171</f>
        <v>4665.3000000000093</v>
      </c>
      <c r="AK29" s="24">
        <f>Analysis!AM171</f>
        <v>-36773.249999999993</v>
      </c>
      <c r="AL29" s="24">
        <f>Analysis!AN171</f>
        <v>-26086.459999999955</v>
      </c>
      <c r="AM29" s="24">
        <f>Analysis!AO171</f>
        <v>-122278.78000000003</v>
      </c>
      <c r="AN29" s="24">
        <f>Analysis!AP171</f>
        <v>-242423.36999999988</v>
      </c>
      <c r="AO29" s="24">
        <f>Analysis!AQ171</f>
        <v>210800.75</v>
      </c>
      <c r="AP29" s="24">
        <f>Analysis!AR171</f>
        <v>109908.56999999993</v>
      </c>
      <c r="AQ29" s="24">
        <f>Analysis!AS171</f>
        <v>-118149.56999999995</v>
      </c>
      <c r="AR29" s="24">
        <f>Analysis!AT171</f>
        <v>-14706.86000000015</v>
      </c>
      <c r="AS29" s="24">
        <f>Analysis!AU171</f>
        <v>146446.62000000008</v>
      </c>
      <c r="AT29" s="24">
        <f>Analysis!AV171</f>
        <v>-253293.95000000004</v>
      </c>
      <c r="AU29" s="24">
        <f>Analysis!AW171</f>
        <v>-232624.20999999993</v>
      </c>
      <c r="AV29" s="24">
        <f>Analysis!AX171</f>
        <v>-114816.81000000001</v>
      </c>
      <c r="AW29" s="24">
        <f>Analysis!AY171</f>
        <v>-197118.38</v>
      </c>
      <c r="AX29" s="24">
        <f>Analysis!AZ171</f>
        <v>105667.18999999983</v>
      </c>
      <c r="AY29" s="24">
        <f>Analysis!BA171</f>
        <v>4811.7799999997624</v>
      </c>
      <c r="AZ29" s="24">
        <f>Analysis!BB171</f>
        <v>53489.640000000087</v>
      </c>
      <c r="BA29" s="24">
        <f>Analysis!BC171</f>
        <v>14403.099999999651</v>
      </c>
      <c r="BB29" s="24">
        <f>Analysis!BD171</f>
        <v>156619.21999999997</v>
      </c>
      <c r="BC29" s="24">
        <f>Analysis!BE171</f>
        <v>-63457.450000000303</v>
      </c>
      <c r="BD29" s="24">
        <f>Analysis!BF171</f>
        <v>126091.86999999985</v>
      </c>
      <c r="BE29" s="24">
        <f>Analysis!BG171</f>
        <v>-77900.249999999782</v>
      </c>
      <c r="BF29" s="24">
        <f>Analysis!BH171</f>
        <v>-211294.6799999997</v>
      </c>
      <c r="BG29" s="24">
        <f>Analysis!BI171</f>
        <v>204955.36</v>
      </c>
      <c r="BH29" s="24">
        <f>Analysis!BJ171</f>
        <v>-271823.81000000006</v>
      </c>
      <c r="BI29" s="24">
        <f>Analysis!BK171</f>
        <v>-178047.27999999997</v>
      </c>
      <c r="BJ29" s="24">
        <f>Analysis!BL171</f>
        <v>274219.01999999973</v>
      </c>
      <c r="BK29" s="24">
        <f>Analysis!BM171</f>
        <v>-55020.980000000127</v>
      </c>
      <c r="BL29" s="24">
        <f>Analysis!BN171</f>
        <v>474367.57000000036</v>
      </c>
      <c r="BM29" s="24">
        <f>Analysis!BO171</f>
        <v>549247.01999999979</v>
      </c>
      <c r="BN29" s="24">
        <f>Analysis!BP171</f>
        <v>435919.28999999963</v>
      </c>
      <c r="BO29" s="399">
        <f>Analysis!BQ171</f>
        <v>697319.72999999986</v>
      </c>
      <c r="BP29" s="195">
        <f>Analysis!BR171</f>
        <v>191137.51034834387</v>
      </c>
      <c r="BQ29" s="195">
        <f>Analysis!BS171</f>
        <v>176147.07313344011</v>
      </c>
      <c r="BR29" s="195">
        <f>Analysis!BT171</f>
        <v>166232.53775049318</v>
      </c>
      <c r="BS29" s="195">
        <f>Analysis!BU171</f>
        <v>159434.99385551733</v>
      </c>
      <c r="BT29" s="195">
        <f>Analysis!BV171</f>
        <v>155944.66768446422</v>
      </c>
      <c r="BU29" s="195">
        <f>Analysis!BW171</f>
        <v>154758.84416139871</v>
      </c>
      <c r="BV29" s="195">
        <f>Analysis!BX171</f>
        <v>171437.26608109669</v>
      </c>
      <c r="BW29" s="195">
        <f>Analysis!BY171</f>
        <v>185383.31543672088</v>
      </c>
      <c r="BX29" s="195">
        <f>Analysis!BZ171</f>
        <v>198226.05644840933</v>
      </c>
      <c r="BY29" s="195">
        <f>Analysis!CA171</f>
        <v>208318.96799088916</v>
      </c>
      <c r="BZ29" s="195">
        <f>Analysis!CB171</f>
        <v>217551.5804947679</v>
      </c>
      <c r="CA29" s="195">
        <f>Analysis!CC171</f>
        <v>226691.94157447974</v>
      </c>
      <c r="CB29" s="195">
        <f>Analysis!CD171</f>
        <v>234397.75584545481</v>
      </c>
      <c r="CC29" s="195">
        <f>Analysis!CE171</f>
        <v>241052.80048161765</v>
      </c>
      <c r="CD29" s="195">
        <f>Analysis!CF171</f>
        <v>247232.59332095302</v>
      </c>
      <c r="CE29" s="195">
        <f>Analysis!CG171</f>
        <v>253005.28453752771</v>
      </c>
      <c r="CF29" s="195">
        <f>Analysis!CH171</f>
        <v>258508.91916783177</v>
      </c>
      <c r="CG29" s="196">
        <f>Analysis!CI171</f>
        <v>263798.43907391123</v>
      </c>
      <c r="CH29" s="135"/>
    </row>
    <row r="30" spans="1:86" x14ac:dyDescent="0.3">
      <c r="A30" s="21"/>
      <c r="B30" s="199"/>
      <c r="C30" s="199"/>
      <c r="D30" s="199"/>
      <c r="E30" s="199"/>
      <c r="F30" s="199"/>
      <c r="G30" s="199"/>
      <c r="H30" s="199"/>
      <c r="I30" s="199"/>
      <c r="J30" s="199"/>
      <c r="K30" s="199"/>
      <c r="L30" s="199"/>
      <c r="M30" s="199"/>
      <c r="N30" s="199"/>
      <c r="O30" s="199"/>
      <c r="P30" s="199"/>
      <c r="Q30" s="199"/>
      <c r="R30" s="199"/>
      <c r="S30" s="199"/>
      <c r="T30" s="199"/>
      <c r="U30" s="199"/>
      <c r="V30" s="199"/>
      <c r="W30" s="199"/>
      <c r="X30" s="199"/>
      <c r="Y30" s="199"/>
      <c r="Z30" s="199"/>
      <c r="AA30" s="199"/>
      <c r="AB30" s="199"/>
      <c r="AC30" s="199"/>
      <c r="AD30" s="199"/>
      <c r="AE30" s="199"/>
      <c r="AF30" s="199"/>
      <c r="AG30" s="199"/>
      <c r="AH30" s="199"/>
      <c r="AI30" s="199"/>
      <c r="AJ30" s="199"/>
      <c r="AK30" s="199"/>
      <c r="AL30" s="199"/>
      <c r="AM30" s="199"/>
      <c r="AN30" s="199"/>
      <c r="AO30" s="199"/>
      <c r="AP30" s="199"/>
      <c r="AQ30" s="199"/>
      <c r="AR30" s="199"/>
      <c r="AS30" s="199"/>
      <c r="AT30" s="199"/>
      <c r="AU30" s="199"/>
      <c r="AV30" s="199"/>
      <c r="AW30" s="199"/>
      <c r="AX30" s="199"/>
      <c r="AY30" s="199"/>
      <c r="AZ30" s="199"/>
      <c r="BA30" s="199"/>
      <c r="BB30" s="199"/>
      <c r="BC30" s="199"/>
      <c r="BD30" s="199"/>
      <c r="BE30" s="199"/>
      <c r="BF30" s="199"/>
      <c r="BG30" s="199"/>
      <c r="BH30" s="199"/>
      <c r="BI30" s="199"/>
      <c r="BJ30" s="199"/>
      <c r="BK30" s="199"/>
      <c r="BL30" s="199"/>
      <c r="BM30" s="199"/>
      <c r="BN30" s="199"/>
      <c r="BO30" s="417"/>
      <c r="BP30" s="189"/>
      <c r="BQ30" s="189"/>
      <c r="BR30" s="189"/>
      <c r="BS30" s="189"/>
      <c r="BT30" s="189"/>
      <c r="BU30" s="189"/>
      <c r="BV30" s="189"/>
      <c r="BW30" s="189"/>
      <c r="BX30" s="189"/>
      <c r="BY30" s="189"/>
      <c r="BZ30" s="189"/>
      <c r="CA30" s="189"/>
      <c r="CB30" s="189"/>
      <c r="CC30" s="189"/>
      <c r="CD30" s="189"/>
      <c r="CE30" s="189"/>
      <c r="CF30" s="189"/>
      <c r="CG30" s="190"/>
      <c r="CH30" s="134"/>
    </row>
    <row r="31" spans="1:86" x14ac:dyDescent="0.3">
      <c r="A31" s="83" t="s">
        <v>449</v>
      </c>
      <c r="B31" s="200" t="str">
        <f>IFERROR(INDEX('I2015'!B$5:B$73,MATCH($A31,'I2015'!$A$5:$A$73,0)),"")</f>
        <v/>
      </c>
      <c r="C31" s="200" t="str">
        <f>IFERROR(INDEX('I2015'!C$5:C$73,MATCH($A31,'I2015'!$A$5:$A$73,0)),"")</f>
        <v/>
      </c>
      <c r="D31" s="200" t="str">
        <f>IFERROR(INDEX('I2015'!D$5:D$73,MATCH($A31,'I2015'!$A$5:$A$73,0)),"")</f>
        <v/>
      </c>
      <c r="E31" s="200" t="str">
        <f>IFERROR(INDEX('I2015'!E$5:E$73,MATCH($A31,'I2015'!$A$5:$A$73,0)),"")</f>
        <v/>
      </c>
      <c r="F31" s="200" t="str">
        <f>IFERROR(INDEX('I2015'!F$5:F$73,MATCH($A31,'I2015'!$A$5:$A$73,0)),"")</f>
        <v/>
      </c>
      <c r="G31" s="200" t="str">
        <f>IFERROR(INDEX('I2015'!G$5:G$73,MATCH($A31,'I2015'!$A$5:$A$73,0)),"")</f>
        <v/>
      </c>
      <c r="H31" s="200" t="str">
        <f>IFERROR(INDEX('I2015'!H$5:H$73,MATCH($A31,'I2015'!$A$5:$A$73,0)),"")</f>
        <v/>
      </c>
      <c r="I31" s="200" t="str">
        <f>IFERROR(INDEX('I2015'!I$5:I$73,MATCH($A31,'I2015'!$A$5:$A$73,0)),"")</f>
        <v/>
      </c>
      <c r="J31" s="200" t="str">
        <f>IFERROR(INDEX('I2015'!J$5:J$73,MATCH($A31,'I2015'!$A$5:$A$73,0)),"")</f>
        <v/>
      </c>
      <c r="K31" s="200" t="str">
        <f>IFERROR(INDEX('I2015'!K$5:K$73,MATCH($A31,'I2015'!$A$5:$A$73,0)),"")</f>
        <v/>
      </c>
      <c r="L31" s="200" t="str">
        <f>IFERROR(INDEX('I2015'!L$5:L$73,MATCH($A31,'I2015'!$A$5:$A$73,0)),"")</f>
        <v/>
      </c>
      <c r="M31" s="200" t="str">
        <f>IFERROR(INDEX('I2015'!M$5:M$73,MATCH($A31,'I2015'!$A$5:$A$73,0)),"")</f>
        <v/>
      </c>
      <c r="N31" s="200" t="str">
        <f>IFERROR(INDEX('I2016'!B$5:B$90,MATCH($A31,'I2016'!$A$5:$A$90,0)),"")</f>
        <v/>
      </c>
      <c r="O31" s="200" t="str">
        <f>IFERROR(INDEX('I2016'!C$5:C$90,MATCH($A31,'I2016'!$A$5:$A$90,0)),"")</f>
        <v/>
      </c>
      <c r="P31" s="200" t="str">
        <f>IFERROR(INDEX('I2016'!D$5:D$90,MATCH($A31,'I2016'!$A$5:$A$90,0)),"")</f>
        <v/>
      </c>
      <c r="Q31" s="200" t="str">
        <f>IFERROR(INDEX('I2016'!E$5:E$90,MATCH($A31,'I2016'!$A$5:$A$90,0)),"")</f>
        <v/>
      </c>
      <c r="R31" s="200" t="str">
        <f>IFERROR(INDEX('I2016'!F$5:F$90,MATCH($A31,'I2016'!$A$5:$A$90,0)),"")</f>
        <v/>
      </c>
      <c r="S31" s="200" t="str">
        <f>IFERROR(INDEX('I2016'!G$5:G$90,MATCH($A31,'I2016'!$A$5:$A$90,0)),"")</f>
        <v/>
      </c>
      <c r="T31" s="200" t="str">
        <f>IFERROR(INDEX('I2016'!H$5:H$90,MATCH($A31,'I2016'!$A$5:$A$90,0)),"")</f>
        <v/>
      </c>
      <c r="U31" s="200" t="str">
        <f>IFERROR(INDEX('I2016'!I$5:I$90,MATCH($A31,'I2016'!$A$5:$A$90,0)),"")</f>
        <v/>
      </c>
      <c r="V31" s="200" t="str">
        <f>IFERROR(INDEX('I2016'!J$5:J$90,MATCH($A31,'I2016'!$A$5:$A$90,0)),"")</f>
        <v/>
      </c>
      <c r="W31" s="200" t="str">
        <f>IFERROR(INDEX('I2016'!K$5:K$90,MATCH($A31,'I2016'!$A$5:$A$90,0)),"")</f>
        <v/>
      </c>
      <c r="X31" s="200" t="str">
        <f>IFERROR(INDEX('I2016'!L$5:L$90,MATCH($A31,'I2016'!$A$5:$A$90,0)),"")</f>
        <v/>
      </c>
      <c r="Y31" s="200" t="str">
        <f>IFERROR(INDEX('I2016'!M$5:M$90,MATCH($A31,'I2016'!$A$5:$A$90,0)),"")</f>
        <v/>
      </c>
      <c r="Z31" s="200" t="str">
        <f>IFERROR(INDEX('I2017'!B$5:B$96,MATCH($A31,'I2017'!$A$5:$A$96,0)),"")</f>
        <v/>
      </c>
      <c r="AA31" s="200" t="str">
        <f>IFERROR(INDEX('I2017'!C$5:C$96,MATCH($A31,'I2017'!$A$5:$A$96,0)),"")</f>
        <v/>
      </c>
      <c r="AB31" s="200" t="str">
        <f>IFERROR(INDEX('I2017'!D$5:D$96,MATCH($A31,'I2017'!$A$5:$A$96,0)),"")</f>
        <v/>
      </c>
      <c r="AC31" s="200" t="str">
        <f>IFERROR(INDEX('I2017'!E$5:E$96,MATCH($A31,'I2017'!$A$5:$A$96,0)),"")</f>
        <v/>
      </c>
      <c r="AD31" s="200" t="str">
        <f>IFERROR(INDEX('I2017'!F$5:F$96,MATCH($A31,'I2017'!$A$5:$A$96,0)),"")</f>
        <v/>
      </c>
      <c r="AE31" s="200" t="str">
        <f>IFERROR(INDEX('I2017'!G$5:G$96,MATCH($A31,'I2017'!$A$5:$A$96,0)),"")</f>
        <v/>
      </c>
      <c r="AF31" s="200" t="str">
        <f>IFERROR(INDEX('I2017'!H$5:H$96,MATCH($A31,'I2017'!$A$5:$A$96,0)),"")</f>
        <v/>
      </c>
      <c r="AG31" s="200" t="str">
        <f>IFERROR(INDEX('I2017'!I$5:I$96,MATCH($A31,'I2017'!$A$5:$A$96,0)),"")</f>
        <v/>
      </c>
      <c r="AH31" s="200" t="str">
        <f>IFERROR(INDEX('I2017'!J$5:J$96,MATCH($A31,'I2017'!$A$5:$A$96,0)),"")</f>
        <v/>
      </c>
      <c r="AI31" s="200" t="str">
        <f>IFERROR(INDEX('I2017'!K$5:K$96,MATCH($A31,'I2017'!$A$5:$A$96,0)),"")</f>
        <v/>
      </c>
      <c r="AJ31" s="200" t="str">
        <f>IFERROR(INDEX('I2017'!L$5:L$96,MATCH($A31,'I2017'!$A$5:$A$96,0)),"")</f>
        <v/>
      </c>
      <c r="AK31" s="200" t="str">
        <f>IFERROR(INDEX('I2017'!M$5:M$96,MATCH($A31,'I2017'!$A$5:$A$96,0)),"")</f>
        <v/>
      </c>
      <c r="AL31" s="200" t="str">
        <f>IFERROR(INDEX('I2018'!B$5:B$107,MATCH($A31,'I2018'!$A$5:$A$107,0)),"")</f>
        <v/>
      </c>
      <c r="AM31" s="200" t="str">
        <f>IFERROR(INDEX('I2018'!C$5:C$107,MATCH($A31,'I2018'!$A$5:$A$107,0)),"")</f>
        <v/>
      </c>
      <c r="AN31" s="200" t="str">
        <f>IFERROR(INDEX('I2018'!D$5:D$107,MATCH($A31,'I2018'!$A$5:$A$107,0)),"")</f>
        <v/>
      </c>
      <c r="AO31" s="200" t="str">
        <f>IFERROR(INDEX('I2018'!E$5:E$107,MATCH($A31,'I2018'!$A$5:$A$107,0)),"")</f>
        <v/>
      </c>
      <c r="AP31" s="200" t="str">
        <f>IFERROR(INDEX('I2018'!F$5:F$107,MATCH($A31,'I2018'!$A$5:$A$107,0)),"")</f>
        <v/>
      </c>
      <c r="AQ31" s="200" t="str">
        <f>IFERROR(INDEX('I2018'!G$5:G$107,MATCH($A31,'I2018'!$A$5:$A$107,0)),"")</f>
        <v/>
      </c>
      <c r="AR31" s="200" t="str">
        <f>IFERROR(INDEX('I2018'!H$5:H$107,MATCH($A31,'I2018'!$A$5:$A$107,0)),"")</f>
        <v/>
      </c>
      <c r="AS31" s="200" t="str">
        <f>IFERROR(INDEX('I2018'!I$5:I$107,MATCH($A31,'I2018'!$A$5:$A$107,0)),"")</f>
        <v/>
      </c>
      <c r="AT31" s="200" t="str">
        <f>IFERROR(INDEX('I2018'!J$5:J$107,MATCH($A31,'I2018'!$A$5:$A$107,0)),"")</f>
        <v/>
      </c>
      <c r="AU31" s="200" t="str">
        <f>IFERROR(INDEX('I2018'!K$5:K$107,MATCH($A31,'I2018'!$A$5:$A$107,0)),"")</f>
        <v/>
      </c>
      <c r="AV31" s="200" t="str">
        <f>IFERROR(INDEX('I2018'!L$5:L$107,MATCH($A31,'I2018'!$A$5:$A$107,0)),"")</f>
        <v/>
      </c>
      <c r="AW31" s="200" t="str">
        <f>IFERROR(INDEX('I2018'!M$5:M$107,MATCH($A31,'I2018'!$A$5:$A$107,0)),"")</f>
        <v/>
      </c>
      <c r="AX31" s="200" t="str">
        <f>IFERROR(INDEX('I2019'!B$5:B$112,MATCH($A31,'I2019'!$A$5:$A$112,0)),"")</f>
        <v/>
      </c>
      <c r="AY31" s="200" t="str">
        <f>IFERROR(INDEX('I2019'!C$5:C$112,MATCH($A31,'I2019'!$A$5:$A$112,0)),"")</f>
        <v/>
      </c>
      <c r="AZ31" s="200" t="str">
        <f>IFERROR(INDEX('I2019'!D$5:D$112,MATCH($A31,'I2019'!$A$5:$A$112,0)),"")</f>
        <v/>
      </c>
      <c r="BA31" s="200" t="str">
        <f>IFERROR(INDEX('I2019'!E$5:E$112,MATCH($A31,'I2019'!$A$5:$A$112,0)),"")</f>
        <v/>
      </c>
      <c r="BB31" s="200" t="str">
        <f>IFERROR(INDEX('I2019'!F$5:F$112,MATCH($A31,'I2019'!$A$5:$A$112,0)),"")</f>
        <v/>
      </c>
      <c r="BC31" s="200" t="str">
        <f>IFERROR(INDEX('I2019'!G$5:G$112,MATCH($A31,'I2019'!$A$5:$A$112,0)),"")</f>
        <v/>
      </c>
      <c r="BD31" s="200" t="str">
        <f>IFERROR(INDEX('I2019'!H$5:H$112,MATCH($A31,'I2019'!$A$5:$A$112,0)),"")</f>
        <v/>
      </c>
      <c r="BE31" s="200" t="str">
        <f>IFERROR(INDEX('I2019'!I$5:I$112,MATCH($A31,'I2019'!$A$5:$A$112,0)),"")</f>
        <v/>
      </c>
      <c r="BF31" s="200" t="str">
        <f>IFERROR(INDEX('I2019'!J$5:J$112,MATCH($A31,'I2019'!$A$5:$A$112,0)),"")</f>
        <v/>
      </c>
      <c r="BG31" s="200" t="str">
        <f>IFERROR(INDEX('I2019'!K$5:K$112,MATCH($A31,'I2019'!$A$5:$A$112,0)),"")</f>
        <v/>
      </c>
      <c r="BH31" s="200" t="str">
        <f>IFERROR(INDEX('I2019'!L$5:L$112,MATCH($A31,'I2019'!$A$5:$A$112,0)),"")</f>
        <v/>
      </c>
      <c r="BI31" s="200" t="str">
        <f>IFERROR(INDEX('I2019'!M$5:M$112,MATCH($A31,'I2019'!$A$5:$A$112,0)),"")</f>
        <v/>
      </c>
      <c r="BJ31" s="200"/>
      <c r="BK31" s="200"/>
      <c r="BL31" s="200"/>
      <c r="BM31" s="200"/>
      <c r="BN31" s="200"/>
      <c r="BO31" s="418"/>
      <c r="BP31" s="201"/>
      <c r="BQ31" s="201"/>
      <c r="BR31" s="201"/>
      <c r="BS31" s="201"/>
      <c r="BT31" s="201"/>
      <c r="BU31" s="201"/>
      <c r="BV31" s="201"/>
      <c r="BW31" s="201"/>
      <c r="BX31" s="201"/>
      <c r="BY31" s="201"/>
      <c r="BZ31" s="201"/>
      <c r="CA31" s="201"/>
      <c r="CB31" s="201"/>
      <c r="CC31" s="201"/>
      <c r="CD31" s="201"/>
      <c r="CE31" s="201"/>
      <c r="CF31" s="201"/>
      <c r="CG31" s="202"/>
      <c r="CH31" s="269"/>
    </row>
    <row r="32" spans="1:86" x14ac:dyDescent="0.3">
      <c r="A32" s="21" t="s">
        <v>404</v>
      </c>
      <c r="B32" s="142">
        <f>Analysis!D174</f>
        <v>-2878.62</v>
      </c>
      <c r="C32" s="142">
        <f>Analysis!E174</f>
        <v>20429.21</v>
      </c>
      <c r="D32" s="142">
        <f>Analysis!F174</f>
        <v>-4488.7900000000009</v>
      </c>
      <c r="E32" s="142">
        <f>Analysis!G174</f>
        <v>733.45000000000073</v>
      </c>
      <c r="F32" s="142">
        <f>Analysis!H174</f>
        <v>22079.71</v>
      </c>
      <c r="G32" s="142">
        <f>Analysis!I174</f>
        <v>-21293.71</v>
      </c>
      <c r="H32" s="142">
        <f>Analysis!J174</f>
        <v>-12485.34</v>
      </c>
      <c r="I32" s="142">
        <f>Analysis!K174</f>
        <v>16379.85</v>
      </c>
      <c r="J32" s="142">
        <f>Analysis!L174</f>
        <v>-1716.45</v>
      </c>
      <c r="K32" s="142">
        <f>Analysis!M174</f>
        <v>-3601.5199999999995</v>
      </c>
      <c r="L32" s="142">
        <f>Analysis!N174</f>
        <v>-940.91999999999962</v>
      </c>
      <c r="M32" s="142">
        <f>Analysis!O174</f>
        <v>-8030.4600000000009</v>
      </c>
      <c r="N32" s="142">
        <f>Analysis!P174</f>
        <v>16646.510000000002</v>
      </c>
      <c r="O32" s="142">
        <f>Analysis!Q174</f>
        <v>1525.8400000000001</v>
      </c>
      <c r="P32" s="142">
        <f>Analysis!R174</f>
        <v>16845.64</v>
      </c>
      <c r="Q32" s="142">
        <f>Analysis!S174</f>
        <v>86630.75</v>
      </c>
      <c r="R32" s="142">
        <f>Analysis!T174</f>
        <v>-20585.169999999998</v>
      </c>
      <c r="S32" s="142">
        <f>Analysis!U174</f>
        <v>2177.5699999999997</v>
      </c>
      <c r="T32" s="142">
        <f>Analysis!V174</f>
        <v>-18034.12</v>
      </c>
      <c r="U32" s="142">
        <f>Analysis!W174</f>
        <v>11223.59</v>
      </c>
      <c r="V32" s="142">
        <f>Analysis!X174</f>
        <v>-23314.350000000002</v>
      </c>
      <c r="W32" s="142">
        <f>Analysis!Y174</f>
        <v>-7350.0699999999961</v>
      </c>
      <c r="X32" s="142">
        <f>Analysis!Z174</f>
        <v>-2031.6699999999992</v>
      </c>
      <c r="Y32" s="142">
        <f>Analysis!AA174</f>
        <v>-10021.720000000001</v>
      </c>
      <c r="Z32" s="142">
        <f>Analysis!AB174</f>
        <v>117593.45999999996</v>
      </c>
      <c r="AA32" s="142">
        <f>Analysis!AC174</f>
        <v>-74840.900000000009</v>
      </c>
      <c r="AB32" s="142">
        <f>Analysis!AD174</f>
        <v>20136.810000000001</v>
      </c>
      <c r="AC32" s="142">
        <f>Analysis!AE174</f>
        <v>5017.510000000002</v>
      </c>
      <c r="AD32" s="142">
        <f>Analysis!AF174</f>
        <v>4153.8599999999997</v>
      </c>
      <c r="AE32" s="142">
        <f>Analysis!AG174</f>
        <v>202537.31</v>
      </c>
      <c r="AF32" s="142">
        <f>Analysis!AH174</f>
        <v>129711.45</v>
      </c>
      <c r="AG32" s="142">
        <f>Analysis!AI174</f>
        <v>80466.179999999993</v>
      </c>
      <c r="AH32" s="142">
        <f>Analysis!AJ174</f>
        <v>94418.92</v>
      </c>
      <c r="AI32" s="142">
        <f>Analysis!AK174</f>
        <v>31998.300000000003</v>
      </c>
      <c r="AJ32" s="142">
        <f>Analysis!AL174</f>
        <v>-7366.5299999999988</v>
      </c>
      <c r="AK32" s="142">
        <f>Analysis!AM174</f>
        <v>15953.730000000003</v>
      </c>
      <c r="AL32" s="142">
        <f>Analysis!AN174</f>
        <v>-20055.089999999997</v>
      </c>
      <c r="AM32" s="142">
        <f>Analysis!AO174</f>
        <v>-157665.04999999999</v>
      </c>
      <c r="AN32" s="142">
        <f>Analysis!AP174</f>
        <v>-267029.86</v>
      </c>
      <c r="AO32" s="142">
        <f>Analysis!AQ174</f>
        <v>200516.43</v>
      </c>
      <c r="AP32" s="142">
        <f>Analysis!AR174</f>
        <v>169196.81</v>
      </c>
      <c r="AQ32" s="142">
        <f>Analysis!AS174</f>
        <v>132727.25999999998</v>
      </c>
      <c r="AR32" s="142">
        <f>Analysis!AT174</f>
        <v>345531.38</v>
      </c>
      <c r="AS32" s="142">
        <f>Analysis!AU174</f>
        <v>326734.8</v>
      </c>
      <c r="AT32" s="142">
        <f>Analysis!AV174</f>
        <v>-242347.50000000003</v>
      </c>
      <c r="AU32" s="142">
        <f>Analysis!AW174</f>
        <v>-612179.78999999992</v>
      </c>
      <c r="AV32" s="142">
        <f>Analysis!AX174</f>
        <v>-19283.530000000028</v>
      </c>
      <c r="AW32" s="142">
        <f>Analysis!AY174</f>
        <v>-142600.65000000005</v>
      </c>
      <c r="AX32" s="142">
        <f>Analysis!AZ174</f>
        <v>294725.46000000002</v>
      </c>
      <c r="AY32" s="142">
        <f>Analysis!BA174</f>
        <v>20734.620000000017</v>
      </c>
      <c r="AZ32" s="142">
        <f>Analysis!BB174</f>
        <v>-216694.95</v>
      </c>
      <c r="BA32" s="142">
        <f>Analysis!BC174</f>
        <v>-39281.529999999992</v>
      </c>
      <c r="BB32" s="142">
        <f>Analysis!BD174</f>
        <v>62326.01999999999</v>
      </c>
      <c r="BC32" s="142">
        <f>Analysis!BE174</f>
        <v>-163604.77000000002</v>
      </c>
      <c r="BD32" s="142">
        <f>Analysis!BF174</f>
        <v>47123.599999999991</v>
      </c>
      <c r="BE32" s="142">
        <f>Analysis!BG174</f>
        <v>33878.529999999992</v>
      </c>
      <c r="BF32" s="142">
        <f>Analysis!BH174</f>
        <v>-70273.570000000065</v>
      </c>
      <c r="BG32" s="142">
        <f>Analysis!BI174</f>
        <v>59602.609999999986</v>
      </c>
      <c r="BH32" s="142">
        <f>Analysis!BJ174</f>
        <v>-136214.51</v>
      </c>
      <c r="BI32" s="142">
        <f>Analysis!BK174</f>
        <v>38456.139999999985</v>
      </c>
      <c r="BJ32" s="142">
        <f>Analysis!BL174</f>
        <v>-25725.900000000023</v>
      </c>
      <c r="BK32" s="142">
        <f>Analysis!BM174</f>
        <v>-19745.249999999964</v>
      </c>
      <c r="BL32" s="142">
        <f>Analysis!BN174</f>
        <v>578201.68000000005</v>
      </c>
      <c r="BM32" s="142">
        <f>Analysis!BO174</f>
        <v>187296.2</v>
      </c>
      <c r="BN32" s="142">
        <f>Analysis!BP174</f>
        <v>988910.12000000011</v>
      </c>
      <c r="BO32" s="401">
        <f>Analysis!BQ174</f>
        <v>-223648.03000000006</v>
      </c>
      <c r="BP32" s="197">
        <f>Analysis!BR174</f>
        <v>186536.08380490707</v>
      </c>
      <c r="BQ32" s="197">
        <f>Analysis!BS174</f>
        <v>171481.04080264765</v>
      </c>
      <c r="BR32" s="197">
        <f>Analysis!BT174</f>
        <v>161455.72732405365</v>
      </c>
      <c r="BS32" s="197">
        <f>Analysis!BU174</f>
        <v>154506.92187885178</v>
      </c>
      <c r="BT32" s="197">
        <f>Analysis!BV174</f>
        <v>150829.189049487</v>
      </c>
      <c r="BU32" s="197">
        <f>Analysis!BW174</f>
        <v>149423.05893655348</v>
      </c>
      <c r="BV32" s="197">
        <f>Analysis!BX174</f>
        <v>165906.58454960413</v>
      </c>
      <c r="BW32" s="197">
        <f>Analysis!BY174</f>
        <v>179677.78605963619</v>
      </c>
      <c r="BX32" s="197">
        <f>Analysis!BZ174</f>
        <v>192361.43403257258</v>
      </c>
      <c r="BY32" s="197">
        <f>Analysis!CA174</f>
        <v>202307.56816033821</v>
      </c>
      <c r="BZ32" s="197">
        <f>Analysis!CB174</f>
        <v>211402.96320397739</v>
      </c>
      <c r="CA32" s="197">
        <f>Analysis!CC174</f>
        <v>220413.45785410234</v>
      </c>
      <c r="CB32" s="197">
        <f>Analysis!CD174</f>
        <v>227994.98513309169</v>
      </c>
      <c r="CC32" s="197">
        <f>Analysis!CE174</f>
        <v>234529.90041962505</v>
      </c>
      <c r="CD32" s="197">
        <f>Analysis!CF174</f>
        <v>240592.57952687531</v>
      </c>
      <c r="CE32" s="197">
        <f>Analysis!CG174</f>
        <v>246250.25435161465</v>
      </c>
      <c r="CF32" s="197">
        <f>Analysis!CH174</f>
        <v>251640.2305811907</v>
      </c>
      <c r="CG32" s="198">
        <f>Analysis!CI174</f>
        <v>256816.85380011905</v>
      </c>
      <c r="CH32" s="135"/>
    </row>
    <row r="33" spans="1:86" x14ac:dyDescent="0.3">
      <c r="A33" s="5" t="s">
        <v>348</v>
      </c>
      <c r="B33" s="55">
        <f>Analysis!D177</f>
        <v>8249.52</v>
      </c>
      <c r="C33" s="55">
        <f>Analysis!E177</f>
        <v>28678.73</v>
      </c>
      <c r="D33" s="55">
        <f>Analysis!F177</f>
        <v>24189.940000000002</v>
      </c>
      <c r="E33" s="55">
        <f>Analysis!G177</f>
        <v>24923.39</v>
      </c>
      <c r="F33" s="55">
        <f>Analysis!H177</f>
        <v>47003.1</v>
      </c>
      <c r="G33" s="55">
        <f>Analysis!I177</f>
        <v>25709.39</v>
      </c>
      <c r="H33" s="55">
        <f>Analysis!J177</f>
        <v>13224.05</v>
      </c>
      <c r="I33" s="55">
        <f>Analysis!K177</f>
        <v>29603.9</v>
      </c>
      <c r="J33" s="55">
        <f>Analysis!L177</f>
        <v>27887.449999999997</v>
      </c>
      <c r="K33" s="55">
        <f>Analysis!M177</f>
        <v>24285.929999999997</v>
      </c>
      <c r="L33" s="55">
        <f>Analysis!N177</f>
        <v>23345.01</v>
      </c>
      <c r="M33" s="55">
        <f>Analysis!O177</f>
        <v>15314.55</v>
      </c>
      <c r="N33" s="55">
        <f>Analysis!P177</f>
        <v>31961.059999999998</v>
      </c>
      <c r="O33" s="55">
        <f>Analysis!Q177</f>
        <v>33486.899999999994</v>
      </c>
      <c r="P33" s="55">
        <f>Analysis!R177</f>
        <v>50332.539999999994</v>
      </c>
      <c r="Q33" s="55">
        <f>Analysis!S177</f>
        <v>136963.29</v>
      </c>
      <c r="R33" s="55">
        <f>Analysis!T177</f>
        <v>116378.12000000001</v>
      </c>
      <c r="S33" s="55">
        <f>Analysis!U177</f>
        <v>118555.68999999999</v>
      </c>
      <c r="T33" s="55">
        <f>Analysis!V177</f>
        <v>100521.57</v>
      </c>
      <c r="U33" s="55">
        <f>Analysis!W177</f>
        <v>111745.16</v>
      </c>
      <c r="V33" s="55">
        <f>Analysis!X177</f>
        <v>88430.81</v>
      </c>
      <c r="W33" s="55">
        <f>Analysis!Y177</f>
        <v>81080.739999999991</v>
      </c>
      <c r="X33" s="55">
        <f>Analysis!Z177</f>
        <v>79049.070000000007</v>
      </c>
      <c r="Y33" s="55">
        <f>Analysis!AA177</f>
        <v>69027.350000000006</v>
      </c>
      <c r="Z33" s="55">
        <f>Analysis!AB177</f>
        <v>186620.81</v>
      </c>
      <c r="AA33" s="55">
        <f>Analysis!AC177</f>
        <v>111779.91</v>
      </c>
      <c r="AB33" s="55">
        <f>Analysis!AD177</f>
        <v>131916.72</v>
      </c>
      <c r="AC33" s="55">
        <f>Analysis!AE177</f>
        <v>136934.23000000001</v>
      </c>
      <c r="AD33" s="55">
        <f>Analysis!AF177</f>
        <v>141088.09</v>
      </c>
      <c r="AE33" s="55">
        <f>Analysis!AG177</f>
        <v>343625.4</v>
      </c>
      <c r="AF33" s="55">
        <f>Analysis!AH177</f>
        <v>473336.85</v>
      </c>
      <c r="AG33" s="55">
        <f>Analysis!AI177</f>
        <v>553803.03</v>
      </c>
      <c r="AH33" s="55">
        <f>Analysis!AJ177</f>
        <v>648221.94999999995</v>
      </c>
      <c r="AI33" s="55">
        <f>Analysis!AK177</f>
        <v>680220.25</v>
      </c>
      <c r="AJ33" s="55">
        <f>Analysis!AL177</f>
        <v>672853.72</v>
      </c>
      <c r="AK33" s="55">
        <f>Analysis!AM177</f>
        <v>688807.45</v>
      </c>
      <c r="AL33" s="55">
        <f>Analysis!AN177</f>
        <v>668752.3600000001</v>
      </c>
      <c r="AM33" s="55">
        <f>Analysis!AO177</f>
        <v>511087.31</v>
      </c>
      <c r="AN33" s="55">
        <f>Analysis!AP177</f>
        <v>244057.45</v>
      </c>
      <c r="AO33" s="55">
        <f>Analysis!AQ177</f>
        <v>444573.88</v>
      </c>
      <c r="AP33" s="55">
        <f>Analysis!AR177</f>
        <v>613770.68999999994</v>
      </c>
      <c r="AQ33" s="55">
        <f>Analysis!AS177</f>
        <v>746497.95</v>
      </c>
      <c r="AR33" s="55">
        <f>Analysis!AT177</f>
        <v>1092029.33</v>
      </c>
      <c r="AS33" s="55">
        <f>Analysis!AU177</f>
        <v>1418764.13</v>
      </c>
      <c r="AT33" s="55">
        <f>Analysis!AV177</f>
        <v>1176416.6299999999</v>
      </c>
      <c r="AU33" s="55">
        <f>Analysis!AW177</f>
        <v>564236.84000000008</v>
      </c>
      <c r="AV33" s="55">
        <f>Analysis!AX177</f>
        <v>544953.30999999994</v>
      </c>
      <c r="AW33" s="55">
        <f>Analysis!AY177</f>
        <v>402352.66</v>
      </c>
      <c r="AX33" s="55">
        <f>Analysis!AZ177</f>
        <v>697078.12</v>
      </c>
      <c r="AY33" s="55">
        <f>Analysis!BA177</f>
        <v>717812.74</v>
      </c>
      <c r="AZ33" s="55">
        <f>Analysis!BB177</f>
        <v>501117.79</v>
      </c>
      <c r="BA33" s="55">
        <f>Analysis!BC177</f>
        <v>461836.26</v>
      </c>
      <c r="BB33" s="55">
        <f>Analysis!BD177</f>
        <v>524162.28</v>
      </c>
      <c r="BC33" s="55">
        <f>Analysis!BE177</f>
        <v>360557.51</v>
      </c>
      <c r="BD33" s="55">
        <f>Analysis!BF177</f>
        <v>407681.11</v>
      </c>
      <c r="BE33" s="55">
        <f>Analysis!BG177</f>
        <v>441559.63999999996</v>
      </c>
      <c r="BF33" s="55">
        <f>Analysis!BH177</f>
        <v>371286.07</v>
      </c>
      <c r="BG33" s="55">
        <f>Analysis!BI177</f>
        <v>430888.67999999993</v>
      </c>
      <c r="BH33" s="55">
        <f>Analysis!BJ177</f>
        <v>294674.17000000004</v>
      </c>
      <c r="BI33" s="55">
        <f>Analysis!BK177</f>
        <v>333130.31</v>
      </c>
      <c r="BJ33" s="55">
        <f>Analysis!BL177</f>
        <v>307404.41000000003</v>
      </c>
      <c r="BK33" s="55">
        <f>Analysis!BM177</f>
        <v>287659.16000000003</v>
      </c>
      <c r="BL33" s="55">
        <f>Analysis!BN177</f>
        <v>865860.84000000008</v>
      </c>
      <c r="BM33" s="55">
        <f>Analysis!BO177</f>
        <v>1053157.04</v>
      </c>
      <c r="BN33" s="55">
        <f>Analysis!BP177</f>
        <v>2042067.16</v>
      </c>
      <c r="BO33" s="419">
        <f>Analysis!BQ177</f>
        <v>1818419.1300000001</v>
      </c>
      <c r="BP33" s="211">
        <f>Analysis!BR177</f>
        <v>2004955.2138049072</v>
      </c>
      <c r="BQ33" s="211">
        <f>Analysis!BS177</f>
        <v>2176436.254607555</v>
      </c>
      <c r="BR33" s="211">
        <f>Analysis!BT177</f>
        <v>2337891.9819316086</v>
      </c>
      <c r="BS33" s="211">
        <f>Analysis!BU177</f>
        <v>2492398.9038104606</v>
      </c>
      <c r="BT33" s="211">
        <f>Analysis!BV177</f>
        <v>2643228.0928599476</v>
      </c>
      <c r="BU33" s="211">
        <f>Analysis!BW177</f>
        <v>2792651.1517965011</v>
      </c>
      <c r="BV33" s="211">
        <f>Analysis!BX177</f>
        <v>2958557.7363461051</v>
      </c>
      <c r="BW33" s="211">
        <f>Analysis!BY177</f>
        <v>3138235.5224057413</v>
      </c>
      <c r="BX33" s="211">
        <f>Analysis!BZ177</f>
        <v>3330596.9564383137</v>
      </c>
      <c r="BY33" s="211">
        <f>Analysis!CA177</f>
        <v>3532904.524598652</v>
      </c>
      <c r="BZ33" s="211">
        <f>Analysis!CB177</f>
        <v>3744307.4878026294</v>
      </c>
      <c r="CA33" s="211">
        <f>Analysis!CC177</f>
        <v>3964720.9456567317</v>
      </c>
      <c r="CB33" s="211">
        <f>Analysis!CD177</f>
        <v>4192715.9307898236</v>
      </c>
      <c r="CC33" s="211">
        <f>Analysis!CE177</f>
        <v>4427245.8312094491</v>
      </c>
      <c r="CD33" s="211">
        <f>Analysis!CF177</f>
        <v>4667838.4107363243</v>
      </c>
      <c r="CE33" s="211">
        <f>Analysis!CG177</f>
        <v>4914088.6650879392</v>
      </c>
      <c r="CF33" s="211">
        <f>Analysis!CH177</f>
        <v>5165728.8956691297</v>
      </c>
      <c r="CG33" s="212">
        <f>Analysis!CI177</f>
        <v>5422545.7494692486</v>
      </c>
      <c r="CH33" s="134"/>
    </row>
    <row r="34" spans="1:86" ht="9.75" customHeight="1" x14ac:dyDescent="0.3">
      <c r="A34" s="129"/>
      <c r="B34" s="199"/>
      <c r="C34" s="205"/>
      <c r="D34" s="205"/>
      <c r="E34" s="205"/>
      <c r="F34" s="205"/>
      <c r="G34" s="205"/>
      <c r="H34" s="205"/>
      <c r="I34" s="205"/>
      <c r="J34" s="205"/>
      <c r="K34" s="205"/>
      <c r="L34" s="205"/>
      <c r="M34" s="205"/>
      <c r="N34" s="205"/>
      <c r="O34" s="205"/>
      <c r="P34" s="205"/>
      <c r="Q34" s="205"/>
      <c r="R34" s="205"/>
      <c r="S34" s="205"/>
      <c r="T34" s="205"/>
      <c r="U34" s="205"/>
      <c r="V34" s="205"/>
      <c r="W34" s="205"/>
      <c r="X34" s="205"/>
      <c r="Y34" s="205"/>
      <c r="Z34" s="205"/>
      <c r="AA34" s="205"/>
      <c r="AB34" s="205"/>
      <c r="AC34" s="205"/>
      <c r="AD34" s="205"/>
      <c r="AE34" s="205"/>
      <c r="AF34" s="205"/>
      <c r="AG34" s="205"/>
      <c r="AH34" s="205"/>
      <c r="AI34" s="205"/>
      <c r="AJ34" s="205"/>
      <c r="AK34" s="205"/>
      <c r="AL34" s="205"/>
      <c r="AM34" s="205"/>
      <c r="AN34" s="205"/>
      <c r="AO34" s="205"/>
      <c r="AP34" s="205"/>
      <c r="AQ34" s="205"/>
      <c r="AR34" s="205"/>
      <c r="AS34" s="205"/>
      <c r="AT34" s="205"/>
      <c r="AU34" s="205"/>
      <c r="AV34" s="205"/>
      <c r="AW34" s="205"/>
      <c r="AX34" s="205"/>
      <c r="AY34" s="205"/>
      <c r="AZ34" s="205"/>
      <c r="BA34" s="205"/>
      <c r="BB34" s="205"/>
      <c r="BC34" s="205"/>
      <c r="BD34" s="205"/>
      <c r="BE34" s="205"/>
      <c r="BF34" s="205"/>
      <c r="BG34" s="205"/>
      <c r="BH34" s="205"/>
      <c r="BI34" s="205"/>
      <c r="BJ34" s="205"/>
      <c r="BK34" s="205"/>
      <c r="BL34" s="205"/>
      <c r="BM34" s="205"/>
      <c r="BN34" s="205"/>
      <c r="BO34" s="420"/>
      <c r="BP34" s="189"/>
      <c r="BQ34" s="189"/>
      <c r="BR34" s="189"/>
      <c r="BS34" s="189"/>
      <c r="BT34" s="189"/>
      <c r="BU34" s="189"/>
      <c r="BV34" s="189"/>
      <c r="BW34" s="189"/>
      <c r="BX34" s="189"/>
      <c r="BY34" s="189"/>
      <c r="BZ34" s="189"/>
      <c r="CA34" s="189"/>
      <c r="CB34" s="189"/>
      <c r="CC34" s="189"/>
      <c r="CD34" s="189"/>
      <c r="CE34" s="189"/>
      <c r="CF34" s="189"/>
      <c r="CG34" s="190"/>
      <c r="CH34" s="134"/>
    </row>
    <row r="35" spans="1:86" x14ac:dyDescent="0.3">
      <c r="A35" s="83" t="s">
        <v>454</v>
      </c>
      <c r="B35" s="200"/>
      <c r="C35" s="200"/>
      <c r="D35" s="200"/>
      <c r="E35" s="200"/>
      <c r="F35" s="200"/>
      <c r="G35" s="200"/>
      <c r="H35" s="200"/>
      <c r="I35" s="200"/>
      <c r="J35" s="200"/>
      <c r="K35" s="200"/>
      <c r="L35" s="200"/>
      <c r="M35" s="200"/>
      <c r="N35" s="200"/>
      <c r="O35" s="200"/>
      <c r="P35" s="200"/>
      <c r="Q35" s="200"/>
      <c r="R35" s="200"/>
      <c r="S35" s="200"/>
      <c r="T35" s="200"/>
      <c r="U35" s="200"/>
      <c r="V35" s="200"/>
      <c r="W35" s="200"/>
      <c r="X35" s="200"/>
      <c r="Y35" s="200"/>
      <c r="Z35" s="200"/>
      <c r="AA35" s="200"/>
      <c r="AB35" s="200"/>
      <c r="AC35" s="200"/>
      <c r="AD35" s="200"/>
      <c r="AE35" s="200"/>
      <c r="AF35" s="200"/>
      <c r="AG35" s="200"/>
      <c r="AH35" s="200"/>
      <c r="AI35" s="200"/>
      <c r="AJ35" s="200"/>
      <c r="AK35" s="200"/>
      <c r="AL35" s="200"/>
      <c r="AM35" s="200"/>
      <c r="AN35" s="200"/>
      <c r="AO35" s="200"/>
      <c r="AP35" s="200"/>
      <c r="AQ35" s="200"/>
      <c r="AR35" s="200"/>
      <c r="AS35" s="200"/>
      <c r="AT35" s="200"/>
      <c r="AU35" s="200"/>
      <c r="AV35" s="200"/>
      <c r="AW35" s="200"/>
      <c r="AX35" s="200"/>
      <c r="AY35" s="200"/>
      <c r="AZ35" s="200"/>
      <c r="BA35" s="200"/>
      <c r="BB35" s="200"/>
      <c r="BC35" s="200"/>
      <c r="BD35" s="200"/>
      <c r="BE35" s="200"/>
      <c r="BF35" s="200"/>
      <c r="BG35" s="200"/>
      <c r="BH35" s="200"/>
      <c r="BI35" s="200"/>
      <c r="BJ35" s="200"/>
      <c r="BK35" s="200"/>
      <c r="BL35" s="200"/>
      <c r="BM35" s="200"/>
      <c r="BN35" s="200"/>
      <c r="BO35" s="418"/>
      <c r="BP35" s="201"/>
      <c r="BQ35" s="201"/>
      <c r="BR35" s="201"/>
      <c r="BS35" s="201"/>
      <c r="BT35" s="201"/>
      <c r="BU35" s="201"/>
      <c r="BV35" s="201"/>
      <c r="BW35" s="201"/>
      <c r="BX35" s="201"/>
      <c r="BY35" s="201"/>
      <c r="BZ35" s="201"/>
      <c r="CA35" s="201"/>
      <c r="CB35" s="201"/>
      <c r="CC35" s="201"/>
      <c r="CD35" s="201"/>
      <c r="CE35" s="201"/>
      <c r="CF35" s="201"/>
      <c r="CG35" s="202"/>
      <c r="CH35" s="134"/>
    </row>
    <row r="36" spans="1:86" x14ac:dyDescent="0.3">
      <c r="A36" s="5" t="s">
        <v>387</v>
      </c>
      <c r="B36" s="141">
        <f>Analysis!D180</f>
        <v>-733.4</v>
      </c>
      <c r="C36" s="141">
        <f>Analysis!E180</f>
        <v>-2023.8</v>
      </c>
      <c r="D36" s="141">
        <f>Analysis!F180</f>
        <v>-5829.36</v>
      </c>
      <c r="E36" s="141">
        <f>Analysis!G180</f>
        <v>2608.9299999999998</v>
      </c>
      <c r="F36" s="141">
        <f>Analysis!H180</f>
        <v>2509.42</v>
      </c>
      <c r="G36" s="141">
        <f>Analysis!I180</f>
        <v>1254.1199999999999</v>
      </c>
      <c r="H36" s="141">
        <f>Analysis!J180</f>
        <v>-3710.21</v>
      </c>
      <c r="I36" s="141">
        <f>Analysis!K180</f>
        <v>-3620.47</v>
      </c>
      <c r="J36" s="141">
        <f>Analysis!L180</f>
        <v>-7252.29</v>
      </c>
      <c r="K36" s="141">
        <f>Analysis!M180</f>
        <v>-3988.36</v>
      </c>
      <c r="L36" s="141">
        <f>Analysis!N180</f>
        <v>-2535.08</v>
      </c>
      <c r="M36" s="141">
        <f>Analysis!O180</f>
        <v>-8857.51</v>
      </c>
      <c r="N36" s="141">
        <f>Analysis!P180</f>
        <v>-12357.61</v>
      </c>
      <c r="O36" s="141">
        <f>Analysis!Q180</f>
        <v>-2380.34</v>
      </c>
      <c r="P36" s="141">
        <f>Analysis!R180</f>
        <v>181.41</v>
      </c>
      <c r="Q36" s="141">
        <f>Analysis!S180</f>
        <v>-20139.22</v>
      </c>
      <c r="R36" s="141">
        <f>Analysis!T180</f>
        <v>-14479.05</v>
      </c>
      <c r="S36" s="141">
        <f>Analysis!U180</f>
        <v>-370.36</v>
      </c>
      <c r="T36" s="141">
        <f>Analysis!V180</f>
        <v>-7965.15</v>
      </c>
      <c r="U36" s="141">
        <f>Analysis!W180</f>
        <v>-1544.05</v>
      </c>
      <c r="V36" s="141">
        <f>Analysis!X180</f>
        <v>1731.74</v>
      </c>
      <c r="W36" s="141">
        <f>Analysis!Y180</f>
        <v>10224.790000000001</v>
      </c>
      <c r="X36" s="141">
        <f>Analysis!Z180</f>
        <v>5098.68</v>
      </c>
      <c r="Y36" s="141">
        <f>Analysis!AA180</f>
        <v>-26715.08</v>
      </c>
      <c r="Z36" s="141">
        <f>Analysis!AB180</f>
        <v>-17248.310000000001</v>
      </c>
      <c r="AA36" s="141">
        <f>Analysis!AC180</f>
        <v>-37839.33</v>
      </c>
      <c r="AB36" s="141">
        <f>Analysis!AD180</f>
        <v>-25368.74</v>
      </c>
      <c r="AC36" s="141">
        <f>Analysis!AE180</f>
        <v>25870.33</v>
      </c>
      <c r="AD36" s="141">
        <f>Analysis!AF180</f>
        <v>-6190.07</v>
      </c>
      <c r="AE36" s="141">
        <f>Analysis!AG180</f>
        <v>-24144.3</v>
      </c>
      <c r="AF36" s="141">
        <f>Analysis!AH180</f>
        <v>-16023.25</v>
      </c>
      <c r="AG36" s="141">
        <f>Analysis!AI180</f>
        <v>-29605.5</v>
      </c>
      <c r="AH36" s="141">
        <f>Analysis!AJ180</f>
        <v>281.39999999999998</v>
      </c>
      <c r="AI36" s="141">
        <f>Analysis!AK180</f>
        <v>15627.84</v>
      </c>
      <c r="AJ36" s="141">
        <f>Analysis!AL180</f>
        <v>-23952.31</v>
      </c>
      <c r="AK36" s="141">
        <f>Analysis!AM180</f>
        <v>-27340.53</v>
      </c>
      <c r="AL36" s="141">
        <f>Analysis!AN180</f>
        <v>-11247.46</v>
      </c>
      <c r="AM36" s="141">
        <f>Analysis!AO180</f>
        <v>-39131.17</v>
      </c>
      <c r="AN36" s="141">
        <f>Analysis!AP180</f>
        <v>-117908.46</v>
      </c>
      <c r="AO36" s="141">
        <f>Analysis!AQ180</f>
        <v>29050.1</v>
      </c>
      <c r="AP36" s="141">
        <f>Analysis!AR180</f>
        <v>-59726.77</v>
      </c>
      <c r="AQ36" s="141">
        <f>Analysis!AS180</f>
        <v>-131219.93</v>
      </c>
      <c r="AR36" s="141">
        <f>Analysis!AT180</f>
        <v>-223567.38</v>
      </c>
      <c r="AS36" s="141">
        <f>Analysis!AU180</f>
        <v>-98659.77</v>
      </c>
      <c r="AT36" s="141">
        <f>Analysis!AV180</f>
        <v>-166548.95000000001</v>
      </c>
      <c r="AU36" s="141">
        <f>Analysis!AW180</f>
        <v>-118899.13</v>
      </c>
      <c r="AV36" s="141">
        <f>Analysis!AX180</f>
        <v>-358406.09</v>
      </c>
      <c r="AW36" s="141">
        <f>Analysis!AY180</f>
        <v>189242.98</v>
      </c>
      <c r="AX36" s="141">
        <f>Analysis!AZ180</f>
        <v>200653.29</v>
      </c>
      <c r="AY36" s="141">
        <f>Analysis!BA180</f>
        <v>-18624.34</v>
      </c>
      <c r="AZ36" s="141">
        <f>Analysis!BB180</f>
        <v>-258080.99</v>
      </c>
      <c r="BA36" s="141">
        <f>Analysis!BC180</f>
        <v>27184.68</v>
      </c>
      <c r="BB36" s="141">
        <f>Analysis!BD180</f>
        <v>64434.17</v>
      </c>
      <c r="BC36" s="141">
        <f>Analysis!BE180</f>
        <v>-51059.92</v>
      </c>
      <c r="BD36" s="141">
        <f>Analysis!BF180</f>
        <v>-19136.349999999999</v>
      </c>
      <c r="BE36" s="141">
        <f>Analysis!BG180</f>
        <v>50747.48</v>
      </c>
      <c r="BF36" s="141">
        <f>Analysis!BH180</f>
        <v>6050.59</v>
      </c>
      <c r="BG36" s="141">
        <f>Analysis!BI180</f>
        <v>64762.69</v>
      </c>
      <c r="BH36" s="141">
        <f>Analysis!BJ180</f>
        <v>-15685.14</v>
      </c>
      <c r="BI36" s="141">
        <f>Analysis!BK180</f>
        <v>-68839.13</v>
      </c>
      <c r="BJ36" s="141">
        <f>Analysis!BL180</f>
        <v>-51183.82</v>
      </c>
      <c r="BK36" s="141">
        <f>Analysis!BM180</f>
        <v>3278.14</v>
      </c>
      <c r="BL36" s="141">
        <f>Analysis!BN180</f>
        <v>79121.960000000006</v>
      </c>
      <c r="BM36" s="141">
        <f>Analysis!BO180</f>
        <v>85793.7</v>
      </c>
      <c r="BN36" s="141">
        <f>Analysis!BP180</f>
        <v>-561448.25</v>
      </c>
      <c r="BO36" s="403">
        <f>Analysis!BQ180</f>
        <v>-567282.49</v>
      </c>
      <c r="BP36" s="203">
        <f>Analysis!BR180</f>
        <v>-4601.4265434368008</v>
      </c>
      <c r="BQ36" s="203">
        <f>Analysis!BS180</f>
        <v>-4666.03233079245</v>
      </c>
      <c r="BR36" s="203">
        <f>Analysis!BT180</f>
        <v>-4776.8104264395488</v>
      </c>
      <c r="BS36" s="203">
        <f>Analysis!BU180</f>
        <v>-4928.0719766655629</v>
      </c>
      <c r="BT36" s="203">
        <f>Analysis!BV180</f>
        <v>-5115.4786349772103</v>
      </c>
      <c r="BU36" s="203">
        <f>Analysis!BW180</f>
        <v>-5335.7852248452136</v>
      </c>
      <c r="BV36" s="203">
        <f>Analysis!BX180</f>
        <v>-5530.6815314925689</v>
      </c>
      <c r="BW36" s="203">
        <f>Analysis!BY180</f>
        <v>-5705.5293770846974</v>
      </c>
      <c r="BX36" s="203">
        <f>Analysis!BZ180</f>
        <v>-5864.6224158367613</v>
      </c>
      <c r="BY36" s="203">
        <f>Analysis!CA180</f>
        <v>-6011.3998305509458</v>
      </c>
      <c r="BZ36" s="203">
        <f>Analysis!CB180</f>
        <v>-6148.6172907905175</v>
      </c>
      <c r="CA36" s="203">
        <f>Analysis!CC180</f>
        <v>-6278.4837203774205</v>
      </c>
      <c r="CB36" s="203">
        <f>Analysis!CD180</f>
        <v>-6402.770712363118</v>
      </c>
      <c r="CC36" s="203">
        <f>Analysis!CE180</f>
        <v>-6522.9000619925937</v>
      </c>
      <c r="CD36" s="203">
        <f>Analysis!CF180</f>
        <v>-6640.0137940777058</v>
      </c>
      <c r="CE36" s="203">
        <f>Analysis!CG180</f>
        <v>-6755.0301859130486</v>
      </c>
      <c r="CF36" s="203">
        <f>Analysis!CH180</f>
        <v>-6868.6885866410867</v>
      </c>
      <c r="CG36" s="204">
        <f>Analysis!CI180</f>
        <v>-6981.5852737921778</v>
      </c>
      <c r="CH36" s="134"/>
    </row>
    <row r="37" spans="1:86" ht="15" thickBot="1" x14ac:dyDescent="0.35">
      <c r="A37" s="130"/>
      <c r="B37" s="131"/>
      <c r="C37" s="131"/>
      <c r="D37" s="131"/>
      <c r="E37" s="131"/>
      <c r="F37" s="131"/>
      <c r="G37" s="131"/>
      <c r="H37" s="131"/>
      <c r="I37" s="131"/>
      <c r="J37" s="131"/>
      <c r="K37" s="131"/>
      <c r="L37" s="131"/>
      <c r="M37" s="131"/>
      <c r="N37" s="131"/>
      <c r="O37" s="131"/>
      <c r="P37" s="131"/>
      <c r="Q37" s="131"/>
      <c r="R37" s="131"/>
      <c r="S37" s="131"/>
      <c r="T37" s="131"/>
      <c r="U37" s="131"/>
      <c r="V37" s="131"/>
      <c r="W37" s="131"/>
      <c r="X37" s="131"/>
      <c r="Y37" s="131"/>
      <c r="Z37" s="131"/>
      <c r="AA37" s="131"/>
      <c r="AB37" s="131"/>
      <c r="AC37" s="131"/>
      <c r="AD37" s="131"/>
      <c r="AE37" s="131"/>
      <c r="AF37" s="131"/>
      <c r="AG37" s="131"/>
      <c r="AH37" s="131"/>
      <c r="AI37" s="131"/>
      <c r="AJ37" s="131"/>
      <c r="AK37" s="131"/>
      <c r="AL37" s="131"/>
      <c r="AM37" s="131"/>
      <c r="AN37" s="131"/>
      <c r="AO37" s="131"/>
      <c r="AP37" s="131"/>
      <c r="AQ37" s="131"/>
      <c r="AR37" s="131"/>
      <c r="AS37" s="131"/>
      <c r="AT37" s="131"/>
      <c r="AU37" s="131"/>
      <c r="AV37" s="131"/>
      <c r="AW37" s="131"/>
      <c r="AX37" s="131"/>
      <c r="AY37" s="131"/>
      <c r="AZ37" s="131"/>
      <c r="BA37" s="131"/>
      <c r="BB37" s="131"/>
      <c r="BC37" s="131"/>
      <c r="BD37" s="131"/>
      <c r="BE37" s="131"/>
      <c r="BF37" s="131"/>
      <c r="BG37" s="131"/>
      <c r="BH37" s="131"/>
      <c r="BI37" s="131"/>
      <c r="BJ37" s="131"/>
      <c r="BK37" s="131"/>
      <c r="BL37" s="131"/>
      <c r="BM37" s="131"/>
      <c r="BN37" s="131"/>
      <c r="BO37" s="421"/>
      <c r="BP37" s="163"/>
      <c r="BQ37" s="163"/>
      <c r="BR37" s="163"/>
      <c r="BS37" s="163"/>
      <c r="BT37" s="163"/>
      <c r="BU37" s="163"/>
      <c r="BV37" s="163"/>
      <c r="BW37" s="163"/>
      <c r="BX37" s="163"/>
      <c r="BY37" s="163"/>
      <c r="BZ37" s="163"/>
      <c r="CA37" s="163"/>
      <c r="CB37" s="163"/>
      <c r="CC37" s="163"/>
      <c r="CD37" s="163"/>
      <c r="CE37" s="163"/>
      <c r="CF37" s="163"/>
      <c r="CG37" s="164"/>
      <c r="CH37" s="134"/>
    </row>
  </sheetData>
  <conditionalFormatting sqref="B6:BH6 BP6:CG6">
    <cfRule type="containsText" dxfId="6" priority="8" operator="containsText" text="FALSE">
      <formula>NOT(ISERROR(SEARCH("FALSE",B6)))</formula>
    </cfRule>
  </conditionalFormatting>
  <conditionalFormatting sqref="BI6:BK6">
    <cfRule type="containsText" dxfId="5" priority="6" operator="containsText" text="FALSE">
      <formula>NOT(ISERROR(SEARCH("FALSE",BI6)))</formula>
    </cfRule>
  </conditionalFormatting>
  <conditionalFormatting sqref="BL6">
    <cfRule type="containsText" dxfId="4" priority="4" operator="containsText" text="FALSE">
      <formula>NOT(ISERROR(SEARCH("FALSE",BL6)))</formula>
    </cfRule>
  </conditionalFormatting>
  <conditionalFormatting sqref="BM6">
    <cfRule type="containsText" dxfId="2" priority="3" operator="containsText" text="FALSE">
      <formula>NOT(ISERROR(SEARCH("FALSE",BM6)))</formula>
    </cfRule>
  </conditionalFormatting>
  <conditionalFormatting sqref="BN6">
    <cfRule type="containsText" dxfId="1" priority="2" operator="containsText" text="FALSE">
      <formula>NOT(ISERROR(SEARCH("FALSE",BN6)))</formula>
    </cfRule>
  </conditionalFormatting>
  <conditionalFormatting sqref="BO6">
    <cfRule type="containsText" dxfId="0" priority="1" operator="containsText" text="FALSE">
      <formula>NOT(ISERROR(SEARCH("FALSE",BO6)))</formula>
    </cfRule>
  </conditionalFormatting>
  <pageMargins left="0.7" right="0.7" top="0.75" bottom="0.75" header="0.3" footer="0.3"/>
  <pageSetup paperSize="9" orientation="portrait" r:id="rId1"/>
  <ignoredErrors>
    <ignoredError sqref="B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7" tint="0.59999389629810485"/>
  </sheetPr>
  <dimension ref="A1"/>
  <sheetViews>
    <sheetView workbookViewId="0"/>
  </sheetViews>
  <sheetFormatPr defaultColWidth="9" defaultRowHeight="14.4" x14ac:dyDescent="0.3"/>
  <cols>
    <col min="1" max="16384" width="9" style="1"/>
  </cols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7" tint="0.79998168889431442"/>
  </sheetPr>
  <dimension ref="A1:CJ181"/>
  <sheetViews>
    <sheetView zoomScaleNormal="100" workbookViewId="0">
      <pane xSplit="3" ySplit="5" topLeftCell="BL6" activePane="bottomRight" state="frozen"/>
      <selection pane="topRight" activeCell="D1" sqref="D1"/>
      <selection pane="bottomLeft" activeCell="A6" sqref="A6"/>
      <selection pane="bottomRight"/>
    </sheetView>
  </sheetViews>
  <sheetFormatPr defaultColWidth="9" defaultRowHeight="14.4" outlineLevelCol="1" x14ac:dyDescent="0.3"/>
  <cols>
    <col min="1" max="1" width="10" style="132" customWidth="1"/>
    <col min="2" max="2" width="14.44140625" style="132" bestFit="1" customWidth="1"/>
    <col min="3" max="3" width="35" style="132" customWidth="1"/>
    <col min="4" max="5" width="8.6640625" style="132" customWidth="1" outlineLevel="1"/>
    <col min="6" max="7" width="9" style="132" customWidth="1" outlineLevel="1"/>
    <col min="8" max="8" width="8.6640625" style="132" customWidth="1" outlineLevel="1"/>
    <col min="9" max="10" width="9" style="132" customWidth="1" outlineLevel="1"/>
    <col min="11" max="15" width="8.6640625" style="132" customWidth="1" outlineLevel="1"/>
    <col min="16" max="16" width="9" style="132" customWidth="1" outlineLevel="1" collapsed="1"/>
    <col min="17" max="27" width="9.44140625" style="132" customWidth="1" outlineLevel="1"/>
    <col min="28" max="28" width="9.44140625" style="132" customWidth="1" outlineLevel="1" collapsed="1"/>
    <col min="29" max="39" width="9.44140625" style="132" customWidth="1" outlineLevel="1"/>
    <col min="40" max="40" width="9.44140625" style="132" customWidth="1" outlineLevel="1" collapsed="1"/>
    <col min="41" max="42" width="9.88671875" style="132" customWidth="1" outlineLevel="1"/>
    <col min="43" max="51" width="10.6640625" style="132" customWidth="1" outlineLevel="1"/>
    <col min="52" max="52" width="10.6640625" style="132" customWidth="1" outlineLevel="1" collapsed="1"/>
    <col min="53" max="68" width="10.6640625" style="132" customWidth="1" outlineLevel="1"/>
    <col min="69" max="69" width="10.6640625" style="313" bestFit="1" customWidth="1"/>
    <col min="70" max="87" width="10.6640625" style="132" bestFit="1" customWidth="1"/>
    <col min="88" max="16384" width="9" style="132"/>
  </cols>
  <sheetData>
    <row r="1" spans="1:88" ht="17.399999999999999" x14ac:dyDescent="0.3">
      <c r="A1" s="85" t="s">
        <v>1</v>
      </c>
      <c r="B1" s="86"/>
      <c r="C1" s="86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  <c r="AB1" s="88"/>
      <c r="AC1" s="88"/>
      <c r="AD1" s="88"/>
      <c r="AE1" s="88"/>
      <c r="AF1" s="88"/>
      <c r="AG1" s="88"/>
      <c r="AH1" s="88"/>
      <c r="AI1" s="88"/>
      <c r="AJ1" s="88"/>
      <c r="AK1" s="88"/>
      <c r="AL1" s="88"/>
      <c r="AM1" s="88"/>
      <c r="AN1" s="88"/>
      <c r="AO1" s="88"/>
      <c r="AP1" s="88"/>
      <c r="AQ1" s="88"/>
      <c r="AR1" s="88"/>
      <c r="AS1" s="88"/>
      <c r="AT1" s="88"/>
      <c r="AU1" s="88"/>
      <c r="AV1" s="88"/>
      <c r="AW1" s="88"/>
      <c r="AX1" s="88"/>
      <c r="AY1" s="88"/>
      <c r="AZ1" s="88"/>
      <c r="BA1" s="88"/>
      <c r="BB1" s="88"/>
      <c r="BC1" s="88"/>
      <c r="BD1" s="88"/>
      <c r="BE1" s="88"/>
      <c r="BF1" s="88"/>
      <c r="BG1" s="88"/>
      <c r="BH1" s="88"/>
      <c r="BI1" s="88"/>
      <c r="BJ1" s="88"/>
      <c r="BK1" s="88"/>
      <c r="BL1" s="88"/>
      <c r="BM1" s="88"/>
      <c r="BN1" s="88"/>
      <c r="BO1" s="88"/>
      <c r="BP1" s="88"/>
      <c r="BQ1" s="376"/>
      <c r="BR1" s="88"/>
      <c r="BS1" s="88"/>
      <c r="BT1" s="88"/>
      <c r="BU1" s="88"/>
      <c r="BV1" s="88"/>
      <c r="BW1" s="88"/>
      <c r="BX1" s="88"/>
      <c r="BY1" s="88"/>
      <c r="BZ1" s="88"/>
      <c r="CA1" s="88"/>
      <c r="CB1" s="88"/>
      <c r="CC1" s="88"/>
      <c r="CD1" s="88"/>
      <c r="CE1" s="88"/>
      <c r="CF1" s="88"/>
      <c r="CG1" s="88"/>
      <c r="CH1" s="88"/>
      <c r="CI1" s="89"/>
      <c r="CJ1" s="133"/>
    </row>
    <row r="2" spans="1:88" ht="17.399999999999999" x14ac:dyDescent="0.3">
      <c r="A2" s="90" t="s">
        <v>2</v>
      </c>
      <c r="B2" s="91"/>
      <c r="C2" s="91"/>
      <c r="D2" s="92"/>
      <c r="E2" s="92"/>
      <c r="F2" s="92"/>
      <c r="G2" s="92"/>
      <c r="H2" s="92"/>
      <c r="I2" s="92"/>
      <c r="J2" s="92"/>
      <c r="K2" s="92"/>
      <c r="L2" s="92"/>
      <c r="M2" s="92"/>
      <c r="N2" s="92"/>
      <c r="O2" s="92"/>
      <c r="P2" s="92"/>
      <c r="Q2" s="44"/>
      <c r="R2" s="44"/>
      <c r="S2" s="44"/>
      <c r="T2" s="44"/>
      <c r="U2" s="44"/>
      <c r="V2" s="44"/>
      <c r="W2" s="44"/>
      <c r="X2" s="44"/>
      <c r="Y2" s="44"/>
      <c r="Z2" s="44"/>
      <c r="AA2" s="44"/>
      <c r="AB2" s="44"/>
      <c r="AC2" s="44"/>
      <c r="AD2" s="44"/>
      <c r="AE2" s="44"/>
      <c r="AF2" s="44"/>
      <c r="AG2" s="44"/>
      <c r="AH2" s="44"/>
      <c r="AI2" s="44"/>
      <c r="AJ2" s="44"/>
      <c r="AK2" s="44"/>
      <c r="AL2" s="44"/>
      <c r="AM2" s="44"/>
      <c r="AN2" s="44"/>
      <c r="AO2" s="44"/>
      <c r="AP2" s="44"/>
      <c r="AQ2" s="44"/>
      <c r="AR2" s="44"/>
      <c r="AS2" s="44"/>
      <c r="AT2" s="44"/>
      <c r="AU2" s="44"/>
      <c r="AV2" s="44"/>
      <c r="AW2" s="44"/>
      <c r="AX2" s="44"/>
      <c r="AY2" s="44"/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  <c r="BL2" s="44"/>
      <c r="BM2" s="44"/>
      <c r="BN2" s="44"/>
      <c r="BO2" s="44"/>
      <c r="BP2" s="44"/>
      <c r="BQ2" s="377"/>
      <c r="BR2" s="44"/>
      <c r="BS2" s="44"/>
      <c r="BT2" s="44"/>
      <c r="BU2" s="44"/>
      <c r="BV2" s="44"/>
      <c r="BW2" s="44"/>
      <c r="BX2" s="44"/>
      <c r="BY2" s="44"/>
      <c r="BZ2" s="44"/>
      <c r="CA2" s="44"/>
      <c r="CB2" s="44"/>
      <c r="CC2" s="44"/>
      <c r="CD2" s="44"/>
      <c r="CE2" s="44"/>
      <c r="CF2" s="44"/>
      <c r="CG2" s="44"/>
      <c r="CH2" s="44"/>
      <c r="CI2" s="93"/>
      <c r="CJ2" s="133"/>
    </row>
    <row r="3" spans="1:88" ht="15" thickBot="1" x14ac:dyDescent="0.35">
      <c r="A3" s="94" t="s">
        <v>479</v>
      </c>
      <c r="B3" s="95"/>
      <c r="C3" s="95"/>
      <c r="D3" s="92"/>
      <c r="E3" s="92"/>
      <c r="F3" s="92"/>
      <c r="G3" s="92"/>
      <c r="H3" s="92"/>
      <c r="I3" s="92"/>
      <c r="J3" s="92"/>
      <c r="K3" s="92"/>
      <c r="L3" s="92"/>
      <c r="M3" s="92"/>
      <c r="N3" s="92"/>
      <c r="O3" s="92"/>
      <c r="P3" s="92"/>
      <c r="Q3" s="44"/>
      <c r="R3" s="44"/>
      <c r="S3" s="44"/>
      <c r="T3" s="44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44"/>
      <c r="AX3" s="44"/>
      <c r="AY3" s="44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  <c r="BL3" s="44"/>
      <c r="BM3" s="44"/>
      <c r="BN3" s="44"/>
      <c r="BO3" s="44"/>
      <c r="BP3" s="44"/>
      <c r="BQ3" s="377"/>
      <c r="BR3" s="44"/>
      <c r="BS3" s="44"/>
      <c r="BT3" s="44"/>
      <c r="BU3" s="44"/>
      <c r="BV3" s="44"/>
      <c r="BW3" s="44"/>
      <c r="BX3" s="44"/>
      <c r="BY3" s="44"/>
      <c r="BZ3" s="44"/>
      <c r="CA3" s="44"/>
      <c r="CB3" s="44"/>
      <c r="CC3" s="44"/>
      <c r="CD3" s="44"/>
      <c r="CE3" s="44"/>
      <c r="CF3" s="44"/>
      <c r="CG3" s="44"/>
      <c r="CH3" s="44"/>
      <c r="CI3" s="93"/>
      <c r="CJ3" s="133"/>
    </row>
    <row r="4" spans="1:88" x14ac:dyDescent="0.3">
      <c r="A4" s="364" t="s">
        <v>227</v>
      </c>
      <c r="B4" s="365"/>
      <c r="C4" s="44"/>
      <c r="D4" s="96" t="s">
        <v>224</v>
      </c>
      <c r="E4" s="96" t="s">
        <v>224</v>
      </c>
      <c r="F4" s="96" t="s">
        <v>224</v>
      </c>
      <c r="G4" s="96" t="s">
        <v>224</v>
      </c>
      <c r="H4" s="96" t="s">
        <v>224</v>
      </c>
      <c r="I4" s="96" t="s">
        <v>224</v>
      </c>
      <c r="J4" s="96" t="s">
        <v>224</v>
      </c>
      <c r="K4" s="96" t="s">
        <v>224</v>
      </c>
      <c r="L4" s="96" t="s">
        <v>224</v>
      </c>
      <c r="M4" s="96" t="s">
        <v>224</v>
      </c>
      <c r="N4" s="96" t="s">
        <v>224</v>
      </c>
      <c r="O4" s="96" t="s">
        <v>224</v>
      </c>
      <c r="P4" s="96" t="s">
        <v>224</v>
      </c>
      <c r="Q4" s="96" t="s">
        <v>224</v>
      </c>
      <c r="R4" s="96" t="s">
        <v>224</v>
      </c>
      <c r="S4" s="96" t="s">
        <v>224</v>
      </c>
      <c r="T4" s="96" t="s">
        <v>224</v>
      </c>
      <c r="U4" s="96" t="s">
        <v>224</v>
      </c>
      <c r="V4" s="96" t="s">
        <v>224</v>
      </c>
      <c r="W4" s="96" t="s">
        <v>224</v>
      </c>
      <c r="X4" s="96" t="s">
        <v>224</v>
      </c>
      <c r="Y4" s="96" t="s">
        <v>224</v>
      </c>
      <c r="Z4" s="96" t="s">
        <v>224</v>
      </c>
      <c r="AA4" s="96" t="s">
        <v>224</v>
      </c>
      <c r="AB4" s="96" t="s">
        <v>224</v>
      </c>
      <c r="AC4" s="96" t="s">
        <v>224</v>
      </c>
      <c r="AD4" s="96" t="s">
        <v>224</v>
      </c>
      <c r="AE4" s="96" t="s">
        <v>224</v>
      </c>
      <c r="AF4" s="96" t="s">
        <v>224</v>
      </c>
      <c r="AG4" s="96" t="s">
        <v>224</v>
      </c>
      <c r="AH4" s="96" t="s">
        <v>224</v>
      </c>
      <c r="AI4" s="96" t="s">
        <v>224</v>
      </c>
      <c r="AJ4" s="96" t="s">
        <v>224</v>
      </c>
      <c r="AK4" s="96" t="s">
        <v>224</v>
      </c>
      <c r="AL4" s="96" t="s">
        <v>224</v>
      </c>
      <c r="AM4" s="96" t="s">
        <v>224</v>
      </c>
      <c r="AN4" s="96" t="s">
        <v>224</v>
      </c>
      <c r="AO4" s="96" t="s">
        <v>224</v>
      </c>
      <c r="AP4" s="96" t="s">
        <v>224</v>
      </c>
      <c r="AQ4" s="96" t="s">
        <v>224</v>
      </c>
      <c r="AR4" s="96" t="s">
        <v>224</v>
      </c>
      <c r="AS4" s="96" t="s">
        <v>224</v>
      </c>
      <c r="AT4" s="96" t="s">
        <v>224</v>
      </c>
      <c r="AU4" s="96" t="s">
        <v>224</v>
      </c>
      <c r="AV4" s="96" t="s">
        <v>224</v>
      </c>
      <c r="AW4" s="96" t="s">
        <v>224</v>
      </c>
      <c r="AX4" s="96" t="s">
        <v>224</v>
      </c>
      <c r="AY4" s="96" t="s">
        <v>224</v>
      </c>
      <c r="AZ4" s="96" t="s">
        <v>224</v>
      </c>
      <c r="BA4" s="96" t="s">
        <v>224</v>
      </c>
      <c r="BB4" s="96" t="s">
        <v>224</v>
      </c>
      <c r="BC4" s="96" t="s">
        <v>224</v>
      </c>
      <c r="BD4" s="96" t="s">
        <v>224</v>
      </c>
      <c r="BE4" s="96" t="s">
        <v>224</v>
      </c>
      <c r="BF4" s="96" t="s">
        <v>224</v>
      </c>
      <c r="BG4" s="96" t="s">
        <v>224</v>
      </c>
      <c r="BH4" s="96" t="s">
        <v>224</v>
      </c>
      <c r="BI4" s="96" t="s">
        <v>224</v>
      </c>
      <c r="BJ4" s="96" t="s">
        <v>224</v>
      </c>
      <c r="BK4" s="96" t="s">
        <v>224</v>
      </c>
      <c r="BL4" s="96" t="s">
        <v>224</v>
      </c>
      <c r="BM4" s="96" t="s">
        <v>224</v>
      </c>
      <c r="BN4" s="96" t="s">
        <v>224</v>
      </c>
      <c r="BO4" s="96" t="s">
        <v>224</v>
      </c>
      <c r="BP4" s="96" t="s">
        <v>224</v>
      </c>
      <c r="BQ4" s="406" t="s">
        <v>224</v>
      </c>
      <c r="BR4" s="97" t="s">
        <v>225</v>
      </c>
      <c r="BS4" s="97" t="s">
        <v>225</v>
      </c>
      <c r="BT4" s="97" t="s">
        <v>225</v>
      </c>
      <c r="BU4" s="97" t="s">
        <v>225</v>
      </c>
      <c r="BV4" s="97" t="s">
        <v>225</v>
      </c>
      <c r="BW4" s="97" t="s">
        <v>225</v>
      </c>
      <c r="BX4" s="97" t="s">
        <v>225</v>
      </c>
      <c r="BY4" s="97" t="s">
        <v>225</v>
      </c>
      <c r="BZ4" s="97" t="s">
        <v>225</v>
      </c>
      <c r="CA4" s="97" t="s">
        <v>225</v>
      </c>
      <c r="CB4" s="97" t="s">
        <v>225</v>
      </c>
      <c r="CC4" s="97" t="s">
        <v>225</v>
      </c>
      <c r="CD4" s="97" t="s">
        <v>225</v>
      </c>
      <c r="CE4" s="97" t="s">
        <v>225</v>
      </c>
      <c r="CF4" s="97" t="s">
        <v>225</v>
      </c>
      <c r="CG4" s="97" t="s">
        <v>225</v>
      </c>
      <c r="CH4" s="97" t="s">
        <v>225</v>
      </c>
      <c r="CI4" s="98" t="s">
        <v>225</v>
      </c>
      <c r="CJ4" s="133"/>
    </row>
    <row r="5" spans="1:88" ht="15" thickBot="1" x14ac:dyDescent="0.35">
      <c r="A5" s="366" t="s">
        <v>491</v>
      </c>
      <c r="B5" s="367"/>
      <c r="C5" s="28"/>
      <c r="D5" s="13">
        <v>42005</v>
      </c>
      <c r="E5" s="13">
        <v>42036</v>
      </c>
      <c r="F5" s="13">
        <v>42064</v>
      </c>
      <c r="G5" s="13">
        <v>42095</v>
      </c>
      <c r="H5" s="13">
        <v>42125</v>
      </c>
      <c r="I5" s="13">
        <v>42156</v>
      </c>
      <c r="J5" s="13">
        <v>42186</v>
      </c>
      <c r="K5" s="13">
        <v>42217</v>
      </c>
      <c r="L5" s="13">
        <v>42248</v>
      </c>
      <c r="M5" s="13">
        <v>42278</v>
      </c>
      <c r="N5" s="13">
        <v>42309</v>
      </c>
      <c r="O5" s="13">
        <v>42339</v>
      </c>
      <c r="P5" s="13">
        <v>42370</v>
      </c>
      <c r="Q5" s="13">
        <v>42401</v>
      </c>
      <c r="R5" s="13">
        <v>42430</v>
      </c>
      <c r="S5" s="13">
        <v>42461</v>
      </c>
      <c r="T5" s="13">
        <v>42491</v>
      </c>
      <c r="U5" s="13">
        <v>42522</v>
      </c>
      <c r="V5" s="13">
        <v>42552</v>
      </c>
      <c r="W5" s="13">
        <v>42583</v>
      </c>
      <c r="X5" s="13">
        <v>42614</v>
      </c>
      <c r="Y5" s="13">
        <v>42644</v>
      </c>
      <c r="Z5" s="13">
        <v>42675</v>
      </c>
      <c r="AA5" s="13">
        <v>42705</v>
      </c>
      <c r="AB5" s="13">
        <v>42736</v>
      </c>
      <c r="AC5" s="13">
        <v>42767</v>
      </c>
      <c r="AD5" s="13">
        <v>42795</v>
      </c>
      <c r="AE5" s="13">
        <v>42826</v>
      </c>
      <c r="AF5" s="13">
        <v>42856</v>
      </c>
      <c r="AG5" s="13">
        <v>42887</v>
      </c>
      <c r="AH5" s="13">
        <v>42917</v>
      </c>
      <c r="AI5" s="13">
        <v>42948</v>
      </c>
      <c r="AJ5" s="13">
        <v>42979</v>
      </c>
      <c r="AK5" s="13">
        <v>43009</v>
      </c>
      <c r="AL5" s="13">
        <v>43040</v>
      </c>
      <c r="AM5" s="13">
        <v>43070</v>
      </c>
      <c r="AN5" s="13">
        <v>43101</v>
      </c>
      <c r="AO5" s="13">
        <v>43132</v>
      </c>
      <c r="AP5" s="13">
        <v>43160</v>
      </c>
      <c r="AQ5" s="13">
        <v>43191</v>
      </c>
      <c r="AR5" s="13">
        <v>43221</v>
      </c>
      <c r="AS5" s="13">
        <v>43252</v>
      </c>
      <c r="AT5" s="13">
        <v>43282</v>
      </c>
      <c r="AU5" s="13">
        <v>43313</v>
      </c>
      <c r="AV5" s="13">
        <v>43344</v>
      </c>
      <c r="AW5" s="13">
        <v>43374</v>
      </c>
      <c r="AX5" s="13">
        <v>43405</v>
      </c>
      <c r="AY5" s="13">
        <v>43435</v>
      </c>
      <c r="AZ5" s="13">
        <v>43466</v>
      </c>
      <c r="BA5" s="13">
        <v>43497</v>
      </c>
      <c r="BB5" s="13">
        <v>43525</v>
      </c>
      <c r="BC5" s="13">
        <v>43556</v>
      </c>
      <c r="BD5" s="13">
        <v>43586</v>
      </c>
      <c r="BE5" s="13">
        <v>43617</v>
      </c>
      <c r="BF5" s="13">
        <v>43647</v>
      </c>
      <c r="BG5" s="13">
        <v>43678</v>
      </c>
      <c r="BH5" s="13">
        <v>43709</v>
      </c>
      <c r="BI5" s="13">
        <v>43739</v>
      </c>
      <c r="BJ5" s="13">
        <v>43770</v>
      </c>
      <c r="BK5" s="13">
        <v>43800</v>
      </c>
      <c r="BL5" s="13">
        <v>43831</v>
      </c>
      <c r="BM5" s="13">
        <v>43862</v>
      </c>
      <c r="BN5" s="13">
        <v>43891</v>
      </c>
      <c r="BO5" s="13">
        <v>43922</v>
      </c>
      <c r="BP5" s="13">
        <v>43952</v>
      </c>
      <c r="BQ5" s="378">
        <v>43983</v>
      </c>
      <c r="BR5" s="27">
        <v>44013</v>
      </c>
      <c r="BS5" s="27">
        <v>44044</v>
      </c>
      <c r="BT5" s="27">
        <v>44075</v>
      </c>
      <c r="BU5" s="27">
        <v>44105</v>
      </c>
      <c r="BV5" s="27">
        <v>44136</v>
      </c>
      <c r="BW5" s="27">
        <v>44166</v>
      </c>
      <c r="BX5" s="27">
        <v>44197</v>
      </c>
      <c r="BY5" s="27">
        <v>44228</v>
      </c>
      <c r="BZ5" s="27">
        <v>44256</v>
      </c>
      <c r="CA5" s="27">
        <v>44287</v>
      </c>
      <c r="CB5" s="27">
        <v>44317</v>
      </c>
      <c r="CC5" s="27">
        <v>44348</v>
      </c>
      <c r="CD5" s="27">
        <v>44378</v>
      </c>
      <c r="CE5" s="27">
        <v>44409</v>
      </c>
      <c r="CF5" s="27">
        <v>44440</v>
      </c>
      <c r="CG5" s="27">
        <v>44470</v>
      </c>
      <c r="CH5" s="27">
        <v>44501</v>
      </c>
      <c r="CI5" s="99">
        <v>44531</v>
      </c>
      <c r="CJ5" s="133"/>
    </row>
    <row r="6" spans="1:88" x14ac:dyDescent="0.3">
      <c r="A6" s="368" t="s">
        <v>492</v>
      </c>
      <c r="B6" s="369"/>
      <c r="C6" s="69" t="s">
        <v>213</v>
      </c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  <c r="O6" s="70"/>
      <c r="P6" s="70"/>
      <c r="Q6" s="70"/>
      <c r="R6" s="70"/>
      <c r="S6" s="70"/>
      <c r="T6" s="70"/>
      <c r="U6" s="70"/>
      <c r="V6" s="70"/>
      <c r="W6" s="70"/>
      <c r="X6" s="70"/>
      <c r="Y6" s="70"/>
      <c r="Z6" s="70"/>
      <c r="AA6" s="70"/>
      <c r="AB6" s="70"/>
      <c r="AC6" s="70"/>
      <c r="AD6" s="70"/>
      <c r="AE6" s="70"/>
      <c r="AF6" s="70"/>
      <c r="AG6" s="100">
        <f>INDEX(Customer!B$5:B$18,MATCH($C6,Customer!$A$5:$A$18,0))</f>
        <v>0</v>
      </c>
      <c r="AH6" s="100">
        <f>INDEX(Customer!C$5:C$18,MATCH($C6,Customer!$A$5:$A$18,0))</f>
        <v>0</v>
      </c>
      <c r="AI6" s="100">
        <f>INDEX(Customer!D$5:D$18,MATCH($C6,Customer!$A$5:$A$18,0))</f>
        <v>0</v>
      </c>
      <c r="AJ6" s="100">
        <f>INDEX(Customer!E$5:E$18,MATCH($C6,Customer!$A$5:$A$18,0))</f>
        <v>0</v>
      </c>
      <c r="AK6" s="100">
        <f>INDEX(Customer!F$5:F$18,MATCH($C6,Customer!$A$5:$A$18,0))</f>
        <v>0</v>
      </c>
      <c r="AL6" s="100">
        <f>INDEX(Customer!G$5:G$18,MATCH($C6,Customer!$A$5:$A$18,0))</f>
        <v>0</v>
      </c>
      <c r="AM6" s="100">
        <f>INDEX(Customer!H$5:H$18,MATCH($C6,Customer!$A$5:$A$18,0))</f>
        <v>0</v>
      </c>
      <c r="AN6" s="100">
        <f>INDEX(Customer!I$5:I$18,MATCH($C6,Customer!$A$5:$A$18,0))</f>
        <v>0</v>
      </c>
      <c r="AO6" s="100">
        <f>INDEX(Customer!J$5:J$18,MATCH($C6,Customer!$A$5:$A$18,0))</f>
        <v>0</v>
      </c>
      <c r="AP6" s="100">
        <f>INDEX(Customer!K$5:K$18,MATCH($C6,Customer!$A$5:$A$18,0))</f>
        <v>0</v>
      </c>
      <c r="AQ6" s="100">
        <f>INDEX(Customer!L$5:L$18,MATCH($C6,Customer!$A$5:$A$18,0))</f>
        <v>0</v>
      </c>
      <c r="AR6" s="100">
        <f>INDEX(Customer!M$5:M$18,MATCH($C6,Customer!$A$5:$A$18,0))</f>
        <v>0</v>
      </c>
      <c r="AS6" s="100">
        <f>INDEX(Customer!N$5:N$18,MATCH($C6,Customer!$A$5:$A$18,0))</f>
        <v>0</v>
      </c>
      <c r="AT6" s="100">
        <f>INDEX(Customer!O$5:O$18,MATCH($C6,Customer!$A$5:$A$18,0))</f>
        <v>0</v>
      </c>
      <c r="AU6" s="100">
        <f>INDEX(Customer!P$5:P$18,MATCH($C6,Customer!$A$5:$A$18,0))</f>
        <v>0</v>
      </c>
      <c r="AV6" s="100">
        <f>INDEX(Customer!Q$5:Q$18,MATCH($C6,Customer!$A$5:$A$18,0))</f>
        <v>0</v>
      </c>
      <c r="AW6" s="100">
        <f>INDEX(Customer!R$5:R$18,MATCH($C6,Customer!$A$5:$A$18,0))</f>
        <v>0</v>
      </c>
      <c r="AX6" s="100">
        <f>INDEX(Customer!S$5:S$18,MATCH($C6,Customer!$A$5:$A$18,0))</f>
        <v>0</v>
      </c>
      <c r="AY6" s="100">
        <f>INDEX(Customer!T$5:T$18,MATCH($C6,Customer!$A$5:$A$18,0))</f>
        <v>0</v>
      </c>
      <c r="AZ6" s="100">
        <f>INDEX(Customer!U$5:U$18,MATCH($C6,Customer!$A$5:$A$18,0))</f>
        <v>0</v>
      </c>
      <c r="BA6" s="100">
        <f>INDEX(Customer!V$5:V$18,MATCH($C6,Customer!$A$5:$A$18,0))</f>
        <v>0</v>
      </c>
      <c r="BB6" s="100">
        <f>INDEX(Customer!W$5:W$18,MATCH($C6,Customer!$A$5:$A$18,0))</f>
        <v>0</v>
      </c>
      <c r="BC6" s="100">
        <f>INDEX(Customer!X$5:X$18,MATCH($C6,Customer!$A$5:$A$18,0))</f>
        <v>0</v>
      </c>
      <c r="BD6" s="100">
        <f>INDEX(Customer!Y$5:Y$18,MATCH($C6,Customer!$A$5:$A$18,0))</f>
        <v>0</v>
      </c>
      <c r="BE6" s="100">
        <f>INDEX(Customer!Z$5:Z$18,MATCH($C6,Customer!$A$5:$A$18,0))</f>
        <v>0</v>
      </c>
      <c r="BF6" s="100">
        <f>INDEX(Customer!AA$5:AA$18,MATCH($C6,Customer!$A$5:$A$18,0))</f>
        <v>0</v>
      </c>
      <c r="BG6" s="309">
        <f>INDEX(Customer!AB$5:AB$18,MATCH($C6,Customer!$A$5:$A$18,0))</f>
        <v>0</v>
      </c>
      <c r="BH6" s="309">
        <f>INDEX(Customer!AC$5:AC$18,MATCH($C6,Customer!$A$5:$A$18,0))</f>
        <v>0</v>
      </c>
      <c r="BI6" s="309">
        <f>INDEX(Customer!AD$5:AD$18,MATCH($C6,Customer!$A$5:$A$18,0))</f>
        <v>0</v>
      </c>
      <c r="BJ6" s="309">
        <f>INDEX(Customer!AE$5:AE$18,MATCH($C6,Customer!$A$5:$A$18,0))</f>
        <v>0</v>
      </c>
      <c r="BK6" s="309">
        <f>INDEX(Customer!AF$5:AF$18,MATCH($C6,Customer!$A$5:$A$18,0))</f>
        <v>0</v>
      </c>
      <c r="BL6" s="309">
        <f>INDEX(Customer!AG$5:AG$18,MATCH($C6,Customer!$A$5:$A$18,0))</f>
        <v>0</v>
      </c>
      <c r="BM6" s="309">
        <f>INDEX(Customer!AH$5:AH$18,MATCH($C6,Customer!$A$5:$A$18,0))</f>
        <v>0</v>
      </c>
      <c r="BN6" s="309">
        <f>INDEX(Customer!AI$5:AI$18,MATCH($C6,Customer!$A$5:$A$18,0))</f>
        <v>0</v>
      </c>
      <c r="BO6" s="309">
        <f>INDEX(Customer!AJ$5:AJ$18,MATCH($C6,Customer!$A$5:$A$18,0))</f>
        <v>0</v>
      </c>
      <c r="BP6" s="309">
        <f>INDEX(Customer!AK$5:AK$18,MATCH($C6,Customer!$A$5:$A$18,0))</f>
        <v>0</v>
      </c>
      <c r="BQ6" s="379"/>
      <c r="BR6" s="72"/>
      <c r="BS6" s="72"/>
      <c r="BT6" s="72"/>
      <c r="BU6" s="72"/>
      <c r="BV6" s="72"/>
      <c r="BW6" s="72"/>
      <c r="BX6" s="72"/>
      <c r="BY6" s="72"/>
      <c r="BZ6" s="72"/>
      <c r="CA6" s="72"/>
      <c r="CB6" s="72"/>
      <c r="CC6" s="72"/>
      <c r="CD6" s="72"/>
      <c r="CE6" s="72"/>
      <c r="CF6" s="72"/>
      <c r="CG6" s="72"/>
      <c r="CH6" s="72"/>
      <c r="CI6" s="101"/>
      <c r="CJ6" s="134"/>
    </row>
    <row r="7" spans="1:88" x14ac:dyDescent="0.3">
      <c r="A7" s="33"/>
      <c r="B7" s="34"/>
      <c r="C7" s="29" t="s">
        <v>214</v>
      </c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102">
        <f>INDEX(Customer!B$5:B$18,MATCH($C7,Customer!$A$5:$A$18,0))</f>
        <v>8231</v>
      </c>
      <c r="AH7" s="102">
        <f>INDEX(Customer!C$5:C$18,MATCH($C7,Customer!$A$5:$A$18,0))</f>
        <v>8572</v>
      </c>
      <c r="AI7" s="102">
        <f>INDEX(Customer!D$5:D$18,MATCH($C7,Customer!$A$5:$A$18,0))</f>
        <v>9409</v>
      </c>
      <c r="AJ7" s="102">
        <f>INDEX(Customer!E$5:E$18,MATCH($C7,Customer!$A$5:$A$18,0))</f>
        <v>10121</v>
      </c>
      <c r="AK7" s="102">
        <f>INDEX(Customer!F$5:F$18,MATCH($C7,Customer!$A$5:$A$18,0))</f>
        <v>10727</v>
      </c>
      <c r="AL7" s="102">
        <f>INDEX(Customer!G$5:G$18,MATCH($C7,Customer!$A$5:$A$18,0))</f>
        <v>10616</v>
      </c>
      <c r="AM7" s="102">
        <f>INDEX(Customer!H$5:H$18,MATCH($C7,Customer!$A$5:$A$18,0))</f>
        <v>10105</v>
      </c>
      <c r="AN7" s="102">
        <f>INDEX(Customer!I$5:I$18,MATCH($C7,Customer!$A$5:$A$18,0))</f>
        <v>9786</v>
      </c>
      <c r="AO7" s="102">
        <f>INDEX(Customer!J$5:J$18,MATCH($C7,Customer!$A$5:$A$18,0))</f>
        <v>11482</v>
      </c>
      <c r="AP7" s="102">
        <f>INDEX(Customer!K$5:K$18,MATCH($C7,Customer!$A$5:$A$18,0))</f>
        <v>16360</v>
      </c>
      <c r="AQ7" s="102">
        <f>INDEX(Customer!L$5:L$18,MATCH($C7,Customer!$A$5:$A$18,0))</f>
        <v>20497</v>
      </c>
      <c r="AR7" s="102">
        <f>INDEX(Customer!M$5:M$18,MATCH($C7,Customer!$A$5:$A$18,0))</f>
        <v>19035</v>
      </c>
      <c r="AS7" s="102">
        <f>INDEX(Customer!N$5:N$18,MATCH($C7,Customer!$A$5:$A$18,0))</f>
        <v>22374</v>
      </c>
      <c r="AT7" s="102">
        <f>INDEX(Customer!O$5:O$18,MATCH($C7,Customer!$A$5:$A$18,0))</f>
        <v>26521</v>
      </c>
      <c r="AU7" s="102">
        <f>INDEX(Customer!P$5:P$18,MATCH($C7,Customer!$A$5:$A$18,0))</f>
        <v>29520</v>
      </c>
      <c r="AV7" s="102">
        <f>INDEX(Customer!Q$5:Q$18,MATCH($C7,Customer!$A$5:$A$18,0))</f>
        <v>29387</v>
      </c>
      <c r="AW7" s="102">
        <f>INDEX(Customer!R$5:R$18,MATCH($C7,Customer!$A$5:$A$18,0))</f>
        <v>39744</v>
      </c>
      <c r="AX7" s="102">
        <f>INDEX(Customer!S$5:S$18,MATCH($C7,Customer!$A$5:$A$18,0))</f>
        <v>48090</v>
      </c>
      <c r="AY7" s="102">
        <f>INDEX(Customer!T$5:T$18,MATCH($C7,Customer!$A$5:$A$18,0))</f>
        <v>47725</v>
      </c>
      <c r="AZ7" s="102">
        <f>INDEX(Customer!U$5:U$18,MATCH($C7,Customer!$A$5:$A$18,0))</f>
        <v>42046</v>
      </c>
      <c r="BA7" s="102">
        <f>INDEX(Customer!V$5:V$18,MATCH($C7,Customer!$A$5:$A$18,0))</f>
        <v>42618</v>
      </c>
      <c r="BB7" s="102">
        <f>INDEX(Customer!W$5:W$18,MATCH($C7,Customer!$A$5:$A$18,0))</f>
        <v>42992</v>
      </c>
      <c r="BC7" s="102">
        <f>INDEX(Customer!X$5:X$18,MATCH($C7,Customer!$A$5:$A$18,0))</f>
        <v>45575</v>
      </c>
      <c r="BD7" s="102">
        <f>INDEX(Customer!Y$5:Y$18,MATCH($C7,Customer!$A$5:$A$18,0))</f>
        <v>46230</v>
      </c>
      <c r="BE7" s="102">
        <f>INDEX(Customer!Z$5:Z$18,MATCH($C7,Customer!$A$5:$A$18,0))</f>
        <v>44456</v>
      </c>
      <c r="BF7" s="102">
        <f>INDEX(Customer!AA$5:AA$18,MATCH($C7,Customer!$A$5:$A$18,0))</f>
        <v>46678</v>
      </c>
      <c r="BG7" s="310">
        <f>INDEX(Customer!AB$5:AB$18,MATCH($C7,Customer!$A$5:$A$18,0))</f>
        <v>46267</v>
      </c>
      <c r="BH7" s="310">
        <f>INDEX(Customer!AC$5:AC$18,MATCH($C7,Customer!$A$5:$A$18,0))</f>
        <v>44835</v>
      </c>
      <c r="BI7" s="310">
        <f>INDEX(Customer!AD$5:AD$18,MATCH($C7,Customer!$A$5:$A$18,0))</f>
        <v>46722</v>
      </c>
      <c r="BJ7" s="310">
        <f>INDEX(Customer!AE$5:AE$18,MATCH($C7,Customer!$A$5:$A$18,0))</f>
        <v>42294</v>
      </c>
      <c r="BK7" s="310">
        <f>INDEX(Customer!AF$5:AF$18,MATCH($C7,Customer!$A$5:$A$18,0))</f>
        <v>41963</v>
      </c>
      <c r="BL7" s="310">
        <f>INDEX(Customer!AG$5:AG$18,MATCH($C7,Customer!$A$5:$A$18,0))</f>
        <v>40089</v>
      </c>
      <c r="BM7" s="310">
        <f>INDEX(Customer!AH$5:AH$18,MATCH($C7,Customer!$A$5:$A$18,0))</f>
        <v>43116</v>
      </c>
      <c r="BN7" s="310">
        <f>INDEX(Customer!AI$5:AI$18,MATCH($C7,Customer!$A$5:$A$18,0))</f>
        <v>47671</v>
      </c>
      <c r="BO7" s="310">
        <f>INDEX(Customer!AJ$5:AJ$18,MATCH($C7,Customer!$A$5:$A$18,0))</f>
        <v>45417</v>
      </c>
      <c r="BP7" s="310">
        <f>INDEX(Customer!AK$5:AK$18,MATCH($C7,Customer!$A$5:$A$18,0))</f>
        <v>45244</v>
      </c>
      <c r="BQ7" s="380">
        <f>INDEX(Customer!AL$5:AL$18,MATCH($C7,Customer!$A$5:$A$18,0))</f>
        <v>54904</v>
      </c>
      <c r="BR7" s="46">
        <f t="shared" ref="BQ7:CI7" si="0">BQ8</f>
        <v>59615</v>
      </c>
      <c r="BS7" s="46">
        <f t="shared" si="0"/>
        <v>59758.786278400003</v>
      </c>
      <c r="BT7" s="46">
        <f t="shared" si="0"/>
        <v>60597.822477824011</v>
      </c>
      <c r="BU7" s="46">
        <f t="shared" si="0"/>
        <v>62036.499044669457</v>
      </c>
      <c r="BV7" s="46">
        <f t="shared" si="0"/>
        <v>64000.934761890421</v>
      </c>
      <c r="BW7" s="46">
        <f t="shared" si="0"/>
        <v>66434.787467236485</v>
      </c>
      <c r="BX7" s="46">
        <f t="shared" si="0"/>
        <v>69295.912010976783</v>
      </c>
      <c r="BY7" s="46">
        <f t="shared" si="0"/>
        <v>71827.03287652685</v>
      </c>
      <c r="BZ7" s="46">
        <f t="shared" si="0"/>
        <v>74097.784117983072</v>
      </c>
      <c r="CA7" s="46">
        <f t="shared" si="0"/>
        <v>76163.927478399477</v>
      </c>
      <c r="CB7" s="46">
        <f t="shared" si="0"/>
        <v>78070.127669492795</v>
      </c>
      <c r="CC7" s="46">
        <f t="shared" si="0"/>
        <v>79852.172607669054</v>
      </c>
      <c r="CD7" s="46">
        <f t="shared" si="0"/>
        <v>81538.749615291163</v>
      </c>
      <c r="CE7" s="46">
        <f t="shared" si="0"/>
        <v>83152.866394326193</v>
      </c>
      <c r="CF7" s="46">
        <f t="shared" si="0"/>
        <v>84712.987818085618</v>
      </c>
      <c r="CG7" s="46">
        <f t="shared" si="0"/>
        <v>86233.945377632524</v>
      </c>
      <c r="CH7" s="46">
        <f t="shared" si="0"/>
        <v>87727.664752117504</v>
      </c>
      <c r="CI7" s="103">
        <f t="shared" si="0"/>
        <v>89203.747878455659</v>
      </c>
      <c r="CJ7" s="134"/>
    </row>
    <row r="8" spans="1:88" x14ac:dyDescent="0.3">
      <c r="A8" s="33"/>
      <c r="B8" s="34"/>
      <c r="C8" s="29" t="s">
        <v>215</v>
      </c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22">
        <f>INDEX(Customer!B$5:B$18,MATCH($C8,Customer!$A$5:$A$18,0))</f>
        <v>8572</v>
      </c>
      <c r="AH8" s="22">
        <f>INDEX(Customer!C$5:C$18,MATCH($C8,Customer!$A$5:$A$18,0))</f>
        <v>9409</v>
      </c>
      <c r="AI8" s="22">
        <f>INDEX(Customer!D$5:D$18,MATCH($C8,Customer!$A$5:$A$18,0))</f>
        <v>10121</v>
      </c>
      <c r="AJ8" s="22">
        <f>INDEX(Customer!E$5:E$18,MATCH($C8,Customer!$A$5:$A$18,0))</f>
        <v>10727</v>
      </c>
      <c r="AK8" s="22">
        <f>INDEX(Customer!F$5:F$18,MATCH($C8,Customer!$A$5:$A$18,0))</f>
        <v>10616</v>
      </c>
      <c r="AL8" s="22">
        <f>INDEX(Customer!G$5:G$18,MATCH($C8,Customer!$A$5:$A$18,0))</f>
        <v>10105</v>
      </c>
      <c r="AM8" s="22">
        <f>INDEX(Customer!H$5:H$18,MATCH($C8,Customer!$A$5:$A$18,0))</f>
        <v>9786</v>
      </c>
      <c r="AN8" s="22">
        <f>INDEX(Customer!I$5:I$18,MATCH($C8,Customer!$A$5:$A$18,0))</f>
        <v>11482</v>
      </c>
      <c r="AO8" s="22">
        <f>INDEX(Customer!J$5:J$18,MATCH($C8,Customer!$A$5:$A$18,0))</f>
        <v>16360</v>
      </c>
      <c r="AP8" s="22">
        <f>INDEX(Customer!K$5:K$18,MATCH($C8,Customer!$A$5:$A$18,0))</f>
        <v>20497</v>
      </c>
      <c r="AQ8" s="22">
        <f>INDEX(Customer!L$5:L$18,MATCH($C8,Customer!$A$5:$A$18,0))</f>
        <v>19035</v>
      </c>
      <c r="AR8" s="22">
        <f>INDEX(Customer!M$5:M$18,MATCH($C8,Customer!$A$5:$A$18,0))</f>
        <v>22374</v>
      </c>
      <c r="AS8" s="22">
        <f>INDEX(Customer!N$5:N$18,MATCH($C8,Customer!$A$5:$A$18,0))</f>
        <v>26521</v>
      </c>
      <c r="AT8" s="22">
        <f>INDEX(Customer!O$5:O$18,MATCH($C8,Customer!$A$5:$A$18,0))</f>
        <v>29520</v>
      </c>
      <c r="AU8" s="22">
        <f>INDEX(Customer!P$5:P$18,MATCH($C8,Customer!$A$5:$A$18,0))</f>
        <v>29387</v>
      </c>
      <c r="AV8" s="22">
        <f>INDEX(Customer!Q$5:Q$18,MATCH($C8,Customer!$A$5:$A$18,0))</f>
        <v>39744</v>
      </c>
      <c r="AW8" s="22">
        <f>INDEX(Customer!R$5:R$18,MATCH($C8,Customer!$A$5:$A$18,0))</f>
        <v>48090</v>
      </c>
      <c r="AX8" s="22">
        <f>INDEX(Customer!S$5:S$18,MATCH($C8,Customer!$A$5:$A$18,0))</f>
        <v>47725</v>
      </c>
      <c r="AY8" s="22">
        <f>INDEX(Customer!T$5:T$18,MATCH($C8,Customer!$A$5:$A$18,0))</f>
        <v>42046</v>
      </c>
      <c r="AZ8" s="22">
        <f>INDEX(Customer!U$5:U$18,MATCH($C8,Customer!$A$5:$A$18,0))</f>
        <v>42618</v>
      </c>
      <c r="BA8" s="22">
        <f>INDEX(Customer!V$5:V$18,MATCH($C8,Customer!$A$5:$A$18,0))</f>
        <v>42992</v>
      </c>
      <c r="BB8" s="22">
        <f>INDEX(Customer!W$5:W$18,MATCH($C8,Customer!$A$5:$A$18,0))</f>
        <v>45575</v>
      </c>
      <c r="BC8" s="22">
        <f>INDEX(Customer!X$5:X$18,MATCH($C8,Customer!$A$5:$A$18,0))</f>
        <v>46230</v>
      </c>
      <c r="BD8" s="22">
        <f>INDEX(Customer!Y$5:Y$18,MATCH($C8,Customer!$A$5:$A$18,0))</f>
        <v>44456</v>
      </c>
      <c r="BE8" s="22">
        <f>INDEX(Customer!Z$5:Z$18,MATCH($C8,Customer!$A$5:$A$18,0))</f>
        <v>46678</v>
      </c>
      <c r="BF8" s="22">
        <f>INDEX(Customer!AA$5:AA$18,MATCH($C8,Customer!$A$5:$A$18,0))</f>
        <v>46267</v>
      </c>
      <c r="BG8" s="311">
        <f>INDEX(Customer!AB$5:AB$18,MATCH($C8,Customer!$A$5:$A$18,0))</f>
        <v>44835</v>
      </c>
      <c r="BH8" s="311">
        <f>INDEX(Customer!AC$5:AC$18,MATCH($C8,Customer!$A$5:$A$18,0))</f>
        <v>46722</v>
      </c>
      <c r="BI8" s="311">
        <f>INDEX(Customer!AD$5:AD$18,MATCH($C8,Customer!$A$5:$A$18,0))</f>
        <v>42294</v>
      </c>
      <c r="BJ8" s="311">
        <f>INDEX(Customer!AE$5:AE$18,MATCH($C8,Customer!$A$5:$A$18,0))</f>
        <v>41963</v>
      </c>
      <c r="BK8" s="311">
        <f>INDEX(Customer!AF$5:AF$18,MATCH($C8,Customer!$A$5:$A$18,0))</f>
        <v>40089</v>
      </c>
      <c r="BL8" s="311">
        <f>INDEX(Customer!AG$5:AG$18,MATCH($C8,Customer!$A$5:$A$18,0))</f>
        <v>43116</v>
      </c>
      <c r="BM8" s="311">
        <f>INDEX(Customer!AH$5:AH$18,MATCH($C8,Customer!$A$5:$A$18,0))</f>
        <v>47671</v>
      </c>
      <c r="BN8" s="311">
        <f>INDEX(Customer!AI$5:AI$18,MATCH($C8,Customer!$A$5:$A$18,0))</f>
        <v>45417</v>
      </c>
      <c r="BO8" s="311">
        <f>INDEX(Customer!AJ$5:AJ$18,MATCH($C8,Customer!$A$5:$A$18,0))</f>
        <v>45244</v>
      </c>
      <c r="BP8" s="311">
        <f>INDEX(Customer!AK$5:AK$18,MATCH($C8,Customer!$A$5:$A$18,0))</f>
        <v>54904</v>
      </c>
      <c r="BQ8" s="381">
        <f>INDEX(Customer!AL$5:AL$18,MATCH($C8,Customer!$A$5:$A$18,0))</f>
        <v>59615</v>
      </c>
      <c r="BR8" s="52">
        <f t="shared" ref="BQ8:CI8" si="1">BR7+BR11-BR12</f>
        <v>59758.786278400003</v>
      </c>
      <c r="BS8" s="52">
        <f t="shared" si="1"/>
        <v>60597.822477824011</v>
      </c>
      <c r="BT8" s="52">
        <f t="shared" si="1"/>
        <v>62036.499044669457</v>
      </c>
      <c r="BU8" s="52">
        <f t="shared" si="1"/>
        <v>64000.934761890421</v>
      </c>
      <c r="BV8" s="52">
        <f t="shared" si="1"/>
        <v>66434.787467236485</v>
      </c>
      <c r="BW8" s="52">
        <f t="shared" si="1"/>
        <v>69295.912010976783</v>
      </c>
      <c r="BX8" s="52">
        <f t="shared" si="1"/>
        <v>71827.03287652685</v>
      </c>
      <c r="BY8" s="52">
        <f t="shared" si="1"/>
        <v>74097.784117983072</v>
      </c>
      <c r="BZ8" s="52">
        <f t="shared" si="1"/>
        <v>76163.927478399477</v>
      </c>
      <c r="CA8" s="52">
        <f t="shared" si="1"/>
        <v>78070.127669492795</v>
      </c>
      <c r="CB8" s="52">
        <f t="shared" si="1"/>
        <v>79852.172607669054</v>
      </c>
      <c r="CC8" s="52">
        <f t="shared" si="1"/>
        <v>81538.749615291163</v>
      </c>
      <c r="CD8" s="52">
        <f t="shared" si="1"/>
        <v>83152.866394326193</v>
      </c>
      <c r="CE8" s="52">
        <f t="shared" si="1"/>
        <v>84712.987818085618</v>
      </c>
      <c r="CF8" s="52">
        <f t="shared" si="1"/>
        <v>86233.945377632524</v>
      </c>
      <c r="CG8" s="52">
        <f t="shared" si="1"/>
        <v>87727.664752117504</v>
      </c>
      <c r="CH8" s="52">
        <f t="shared" si="1"/>
        <v>89203.747878455659</v>
      </c>
      <c r="CI8" s="104">
        <f t="shared" si="1"/>
        <v>90669.938620677611</v>
      </c>
      <c r="CJ8" s="134"/>
    </row>
    <row r="9" spans="1:88" x14ac:dyDescent="0.3">
      <c r="A9" s="33"/>
      <c r="B9" s="34"/>
      <c r="C9" s="29" t="s">
        <v>216</v>
      </c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105">
        <f>INDEX(Customer!B$5:B$18,MATCH($C9,Customer!$A$5:$A$18,0))</f>
        <v>341</v>
      </c>
      <c r="AH9" s="105">
        <f>INDEX(Customer!C$5:C$18,MATCH($C9,Customer!$A$5:$A$18,0))</f>
        <v>837</v>
      </c>
      <c r="AI9" s="105">
        <f>INDEX(Customer!D$5:D$18,MATCH($C9,Customer!$A$5:$A$18,0))</f>
        <v>712</v>
      </c>
      <c r="AJ9" s="105">
        <f>INDEX(Customer!E$5:E$18,MATCH($C9,Customer!$A$5:$A$18,0))</f>
        <v>606</v>
      </c>
      <c r="AK9" s="105">
        <f>INDEX(Customer!F$5:F$18,MATCH($C9,Customer!$A$5:$A$18,0))</f>
        <v>-111</v>
      </c>
      <c r="AL9" s="105">
        <f>INDEX(Customer!G$5:G$18,MATCH($C9,Customer!$A$5:$A$18,0))</f>
        <v>-511</v>
      </c>
      <c r="AM9" s="105">
        <f>INDEX(Customer!H$5:H$18,MATCH($C9,Customer!$A$5:$A$18,0))</f>
        <v>-319</v>
      </c>
      <c r="AN9" s="105">
        <f>INDEX(Customer!I$5:I$18,MATCH($C9,Customer!$A$5:$A$18,0))</f>
        <v>1696</v>
      </c>
      <c r="AO9" s="105">
        <f>INDEX(Customer!J$5:J$18,MATCH($C9,Customer!$A$5:$A$18,0))</f>
        <v>4878</v>
      </c>
      <c r="AP9" s="105">
        <f>INDEX(Customer!K$5:K$18,MATCH($C9,Customer!$A$5:$A$18,0))</f>
        <v>4137</v>
      </c>
      <c r="AQ9" s="105">
        <f>INDEX(Customer!L$5:L$18,MATCH($C9,Customer!$A$5:$A$18,0))</f>
        <v>-1462</v>
      </c>
      <c r="AR9" s="105">
        <f>INDEX(Customer!M$5:M$18,MATCH($C9,Customer!$A$5:$A$18,0))</f>
        <v>3339</v>
      </c>
      <c r="AS9" s="105">
        <f>INDEX(Customer!N$5:N$18,MATCH($C9,Customer!$A$5:$A$18,0))</f>
        <v>4147</v>
      </c>
      <c r="AT9" s="105">
        <f>INDEX(Customer!O$5:O$18,MATCH($C9,Customer!$A$5:$A$18,0))</f>
        <v>2999</v>
      </c>
      <c r="AU9" s="105">
        <f>INDEX(Customer!P$5:P$18,MATCH($C9,Customer!$A$5:$A$18,0))</f>
        <v>-133</v>
      </c>
      <c r="AV9" s="105">
        <f>INDEX(Customer!Q$5:Q$18,MATCH($C9,Customer!$A$5:$A$18,0))</f>
        <v>10357</v>
      </c>
      <c r="AW9" s="105">
        <f>INDEX(Customer!R$5:R$18,MATCH($C9,Customer!$A$5:$A$18,0))</f>
        <v>8346</v>
      </c>
      <c r="AX9" s="105">
        <f>INDEX(Customer!S$5:S$18,MATCH($C9,Customer!$A$5:$A$18,0))</f>
        <v>-365</v>
      </c>
      <c r="AY9" s="105">
        <f>INDEX(Customer!T$5:T$18,MATCH($C9,Customer!$A$5:$A$18,0))</f>
        <v>-5679</v>
      </c>
      <c r="AZ9" s="105">
        <f>INDEX(Customer!U$5:U$18,MATCH($C9,Customer!$A$5:$A$18,0))</f>
        <v>572</v>
      </c>
      <c r="BA9" s="105">
        <f>INDEX(Customer!V$5:V$18,MATCH($C9,Customer!$A$5:$A$18,0))</f>
        <v>374</v>
      </c>
      <c r="BB9" s="105">
        <f>INDEX(Customer!W$5:W$18,MATCH($C9,Customer!$A$5:$A$18,0))</f>
        <v>2583</v>
      </c>
      <c r="BC9" s="105">
        <f>INDEX(Customer!X$5:X$18,MATCH($C9,Customer!$A$5:$A$18,0))</f>
        <v>655</v>
      </c>
      <c r="BD9" s="105">
        <f>INDEX(Customer!Y$5:Y$18,MATCH($C9,Customer!$A$5:$A$18,0))</f>
        <v>-1774</v>
      </c>
      <c r="BE9" s="105">
        <f>INDEX(Customer!Z$5:Z$18,MATCH($C9,Customer!$A$5:$A$18,0))</f>
        <v>2222</v>
      </c>
      <c r="BF9" s="105">
        <f>INDEX(Customer!AA$5:AA$18,MATCH($C9,Customer!$A$5:$A$18,0))</f>
        <v>-411</v>
      </c>
      <c r="BG9" s="106">
        <f>INDEX(Customer!AB$5:AB$18,MATCH($C9,Customer!$A$5:$A$18,0))</f>
        <v>-1432</v>
      </c>
      <c r="BH9" s="106">
        <f>INDEX(Customer!AC$5:AC$18,MATCH($C9,Customer!$A$5:$A$18,0))</f>
        <v>1887</v>
      </c>
      <c r="BI9" s="106">
        <f>INDEX(Customer!AD$5:AD$18,MATCH($C9,Customer!$A$5:$A$18,0))</f>
        <v>-4428</v>
      </c>
      <c r="BJ9" s="106">
        <f>INDEX(Customer!AE$5:AE$18,MATCH($C9,Customer!$A$5:$A$18,0))</f>
        <v>-331</v>
      </c>
      <c r="BK9" s="106">
        <f>INDEX(Customer!AF$5:AF$18,MATCH($C9,Customer!$A$5:$A$18,0))</f>
        <v>-1874</v>
      </c>
      <c r="BL9" s="106">
        <f>INDEX(Customer!AG$5:AG$18,MATCH($C9,Customer!$A$5:$A$18,0))</f>
        <v>3027</v>
      </c>
      <c r="BM9" s="106">
        <f>INDEX(Customer!AH$5:AH$18,MATCH($C9,Customer!$A$5:$A$18,0))</f>
        <v>4555</v>
      </c>
      <c r="BN9" s="106">
        <f>INDEX(Customer!AI$5:AI$18,MATCH($C9,Customer!$A$5:$A$18,0))</f>
        <v>-2254</v>
      </c>
      <c r="BO9" s="106">
        <f>INDEX(Customer!AJ$5:AJ$18,MATCH($C9,Customer!$A$5:$A$18,0))</f>
        <v>-173</v>
      </c>
      <c r="BP9" s="106">
        <f>INDEX(Customer!AK$5:AK$18,MATCH($C9,Customer!$A$5:$A$18,0))</f>
        <v>9660</v>
      </c>
      <c r="BQ9" s="382">
        <f>INDEX(Customer!AL$5:AL$18,MATCH($C9,Customer!$A$5:$A$18,0))</f>
        <v>4711</v>
      </c>
      <c r="BR9" s="47">
        <f t="shared" ref="BQ9:CI9" si="2">BR8-BR7</f>
        <v>143.78627840000263</v>
      </c>
      <c r="BS9" s="47">
        <f t="shared" si="2"/>
        <v>839.03619942400837</v>
      </c>
      <c r="BT9" s="47">
        <f t="shared" si="2"/>
        <v>1438.6765668454464</v>
      </c>
      <c r="BU9" s="47">
        <f t="shared" si="2"/>
        <v>1964.4357172209639</v>
      </c>
      <c r="BV9" s="47">
        <f t="shared" si="2"/>
        <v>2433.8527053460639</v>
      </c>
      <c r="BW9" s="47">
        <f t="shared" si="2"/>
        <v>2861.1245437402977</v>
      </c>
      <c r="BX9" s="47">
        <f t="shared" si="2"/>
        <v>2531.1208655500668</v>
      </c>
      <c r="BY9" s="47">
        <f t="shared" si="2"/>
        <v>2270.7512414562225</v>
      </c>
      <c r="BZ9" s="47">
        <f t="shared" si="2"/>
        <v>2066.1433604164049</v>
      </c>
      <c r="CA9" s="47">
        <f t="shared" si="2"/>
        <v>1906.2001910933177</v>
      </c>
      <c r="CB9" s="47">
        <f t="shared" si="2"/>
        <v>1782.0449381762592</v>
      </c>
      <c r="CC9" s="47">
        <f t="shared" si="2"/>
        <v>1686.5770076221088</v>
      </c>
      <c r="CD9" s="47">
        <f t="shared" si="2"/>
        <v>1614.11677903503</v>
      </c>
      <c r="CE9" s="47">
        <f t="shared" si="2"/>
        <v>1560.1214237594249</v>
      </c>
      <c r="CF9" s="47">
        <f t="shared" si="2"/>
        <v>1520.9575595469069</v>
      </c>
      <c r="CG9" s="47">
        <f t="shared" si="2"/>
        <v>1493.7193744849792</v>
      </c>
      <c r="CH9" s="47">
        <f t="shared" si="2"/>
        <v>1476.0831263381551</v>
      </c>
      <c r="CI9" s="107">
        <f t="shared" si="2"/>
        <v>1466.190742221952</v>
      </c>
      <c r="CJ9" s="270"/>
    </row>
    <row r="10" spans="1:88" x14ac:dyDescent="0.3">
      <c r="A10" s="33"/>
      <c r="B10" s="34"/>
      <c r="C10" s="69" t="s">
        <v>217</v>
      </c>
      <c r="D10" s="70"/>
      <c r="E10" s="70"/>
      <c r="F10" s="70"/>
      <c r="G10" s="70"/>
      <c r="H10" s="70"/>
      <c r="I10" s="70"/>
      <c r="J10" s="70"/>
      <c r="K10" s="70"/>
      <c r="L10" s="70"/>
      <c r="M10" s="70"/>
      <c r="N10" s="70"/>
      <c r="O10" s="70"/>
      <c r="P10" s="70"/>
      <c r="Q10" s="70"/>
      <c r="R10" s="70"/>
      <c r="S10" s="70"/>
      <c r="T10" s="70"/>
      <c r="U10" s="70"/>
      <c r="V10" s="70"/>
      <c r="W10" s="70"/>
      <c r="X10" s="70"/>
      <c r="Y10" s="70"/>
      <c r="Z10" s="70"/>
      <c r="AA10" s="70"/>
      <c r="AB10" s="70"/>
      <c r="AC10" s="70"/>
      <c r="AD10" s="70"/>
      <c r="AE10" s="70"/>
      <c r="AF10" s="70"/>
      <c r="AG10" s="100">
        <f>INDEX(Customer!B$5:B$18,MATCH($C10,Customer!$A$5:$A$18,0))</f>
        <v>0</v>
      </c>
      <c r="AH10" s="100">
        <f>INDEX(Customer!C$5:C$18,MATCH($C10,Customer!$A$5:$A$18,0))</f>
        <v>0</v>
      </c>
      <c r="AI10" s="100">
        <f>INDEX(Customer!D$5:D$18,MATCH($C10,Customer!$A$5:$A$18,0))</f>
        <v>0</v>
      </c>
      <c r="AJ10" s="100">
        <f>INDEX(Customer!E$5:E$18,MATCH($C10,Customer!$A$5:$A$18,0))</f>
        <v>0</v>
      </c>
      <c r="AK10" s="100">
        <f>INDEX(Customer!F$5:F$18,MATCH($C10,Customer!$A$5:$A$18,0))</f>
        <v>0</v>
      </c>
      <c r="AL10" s="100">
        <f>INDEX(Customer!G$5:G$18,MATCH($C10,Customer!$A$5:$A$18,0))</f>
        <v>0</v>
      </c>
      <c r="AM10" s="100">
        <f>INDEX(Customer!H$5:H$18,MATCH($C10,Customer!$A$5:$A$18,0))</f>
        <v>0</v>
      </c>
      <c r="AN10" s="100">
        <f>INDEX(Customer!I$5:I$18,MATCH($C10,Customer!$A$5:$A$18,0))</f>
        <v>0</v>
      </c>
      <c r="AO10" s="100">
        <f>INDEX(Customer!J$5:J$18,MATCH($C10,Customer!$A$5:$A$18,0))</f>
        <v>0</v>
      </c>
      <c r="AP10" s="100">
        <f>INDEX(Customer!K$5:K$18,MATCH($C10,Customer!$A$5:$A$18,0))</f>
        <v>0</v>
      </c>
      <c r="AQ10" s="100">
        <f>INDEX(Customer!L$5:L$18,MATCH($C10,Customer!$A$5:$A$18,0))</f>
        <v>0</v>
      </c>
      <c r="AR10" s="100">
        <f>INDEX(Customer!M$5:M$18,MATCH($C10,Customer!$A$5:$A$18,0))</f>
        <v>0</v>
      </c>
      <c r="AS10" s="100">
        <f>INDEX(Customer!N$5:N$18,MATCH($C10,Customer!$A$5:$A$18,0))</f>
        <v>0</v>
      </c>
      <c r="AT10" s="100">
        <f>INDEX(Customer!O$5:O$18,MATCH($C10,Customer!$A$5:$A$18,0))</f>
        <v>0</v>
      </c>
      <c r="AU10" s="100">
        <f>INDEX(Customer!P$5:P$18,MATCH($C10,Customer!$A$5:$A$18,0))</f>
        <v>0</v>
      </c>
      <c r="AV10" s="100">
        <f>INDEX(Customer!Q$5:Q$18,MATCH($C10,Customer!$A$5:$A$18,0))</f>
        <v>0</v>
      </c>
      <c r="AW10" s="100">
        <f>INDEX(Customer!R$5:R$18,MATCH($C10,Customer!$A$5:$A$18,0))</f>
        <v>0</v>
      </c>
      <c r="AX10" s="100">
        <f>INDEX(Customer!S$5:S$18,MATCH($C10,Customer!$A$5:$A$18,0))</f>
        <v>0</v>
      </c>
      <c r="AY10" s="100">
        <f>INDEX(Customer!T$5:T$18,MATCH($C10,Customer!$A$5:$A$18,0))</f>
        <v>0</v>
      </c>
      <c r="AZ10" s="100">
        <f>INDEX(Customer!U$5:U$18,MATCH($C10,Customer!$A$5:$A$18,0))</f>
        <v>0</v>
      </c>
      <c r="BA10" s="100">
        <f>INDEX(Customer!V$5:V$18,MATCH($C10,Customer!$A$5:$A$18,0))</f>
        <v>0</v>
      </c>
      <c r="BB10" s="100">
        <f>INDEX(Customer!W$5:W$18,MATCH($C10,Customer!$A$5:$A$18,0))</f>
        <v>0</v>
      </c>
      <c r="BC10" s="100">
        <f>INDEX(Customer!X$5:X$18,MATCH($C10,Customer!$A$5:$A$18,0))</f>
        <v>0</v>
      </c>
      <c r="BD10" s="100">
        <f>INDEX(Customer!Y$5:Y$18,MATCH($C10,Customer!$A$5:$A$18,0))</f>
        <v>0</v>
      </c>
      <c r="BE10" s="100">
        <f>INDEX(Customer!Z$5:Z$18,MATCH($C10,Customer!$A$5:$A$18,0))</f>
        <v>0</v>
      </c>
      <c r="BF10" s="100">
        <f>INDEX(Customer!AA$5:AA$18,MATCH($C10,Customer!$A$5:$A$18,0))</f>
        <v>0</v>
      </c>
      <c r="BG10" s="309">
        <f>INDEX(Customer!AB$5:AB$18,MATCH($C10,Customer!$A$5:$A$18,0))</f>
        <v>0</v>
      </c>
      <c r="BH10" s="309">
        <f>INDEX(Customer!AC$5:AC$18,MATCH($C10,Customer!$A$5:$A$18,0))</f>
        <v>0</v>
      </c>
      <c r="BI10" s="309">
        <f>INDEX(Customer!AD$5:AD$18,MATCH($C10,Customer!$A$5:$A$18,0))</f>
        <v>0</v>
      </c>
      <c r="BJ10" s="309">
        <f>INDEX(Customer!AE$5:AE$18,MATCH($C10,Customer!$A$5:$A$18,0))</f>
        <v>0</v>
      </c>
      <c r="BK10" s="309">
        <f>INDEX(Customer!AF$5:AF$18,MATCH($C10,Customer!$A$5:$A$18,0))</f>
        <v>0</v>
      </c>
      <c r="BL10" s="309">
        <f>INDEX(Customer!AG$5:AG$18,MATCH($C10,Customer!$A$5:$A$18,0))</f>
        <v>0</v>
      </c>
      <c r="BM10" s="309">
        <f>INDEX(Customer!AH$5:AH$18,MATCH($C10,Customer!$A$5:$A$18,0))</f>
        <v>0</v>
      </c>
      <c r="BN10" s="309">
        <f>INDEX(Customer!AI$5:AI$18,MATCH($C10,Customer!$A$5:$A$18,0))</f>
        <v>0</v>
      </c>
      <c r="BO10" s="309">
        <f>INDEX(Customer!AJ$5:AJ$18,MATCH($C10,Customer!$A$5:$A$18,0))</f>
        <v>0</v>
      </c>
      <c r="BP10" s="309">
        <f>INDEX(Customer!AK$5:AK$18,MATCH($C10,Customer!$A$5:$A$18,0))</f>
        <v>0</v>
      </c>
      <c r="BQ10" s="383">
        <f>INDEX(Customer!AL$5:AL$18,MATCH($C10,Customer!$A$5:$A$18,0))</f>
        <v>0</v>
      </c>
      <c r="BR10" s="72"/>
      <c r="BS10" s="72"/>
      <c r="BT10" s="72"/>
      <c r="BU10" s="72"/>
      <c r="BV10" s="72"/>
      <c r="BW10" s="72"/>
      <c r="BX10" s="72"/>
      <c r="BY10" s="72"/>
      <c r="BZ10" s="72"/>
      <c r="CA10" s="72"/>
      <c r="CB10" s="72"/>
      <c r="CC10" s="72"/>
      <c r="CD10" s="72"/>
      <c r="CE10" s="72"/>
      <c r="CF10" s="72"/>
      <c r="CG10" s="72"/>
      <c r="CH10" s="72"/>
      <c r="CI10" s="101"/>
      <c r="CJ10" s="134"/>
    </row>
    <row r="11" spans="1:88" x14ac:dyDescent="0.3">
      <c r="A11" s="33"/>
      <c r="B11" s="34"/>
      <c r="C11" s="29" t="s">
        <v>220</v>
      </c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102">
        <f>INDEX(Customer!B$5:B$18,MATCH($C11,Customer!$A$5:$A$18,0))</f>
        <v>2598</v>
      </c>
      <c r="AH11" s="102">
        <f>INDEX(Customer!C$5:C$18,MATCH($C11,Customer!$A$5:$A$18,0))</f>
        <v>3311</v>
      </c>
      <c r="AI11" s="102">
        <f>INDEX(Customer!D$5:D$18,MATCH($C11,Customer!$A$5:$A$18,0))</f>
        <v>3789</v>
      </c>
      <c r="AJ11" s="102">
        <f>INDEX(Customer!E$5:E$18,MATCH($C11,Customer!$A$5:$A$18,0))</f>
        <v>3727</v>
      </c>
      <c r="AK11" s="102">
        <f>INDEX(Customer!F$5:F$18,MATCH($C11,Customer!$A$5:$A$18,0))</f>
        <v>3388</v>
      </c>
      <c r="AL11" s="102">
        <f>INDEX(Customer!G$5:G$18,MATCH($C11,Customer!$A$5:$A$18,0))</f>
        <v>3195</v>
      </c>
      <c r="AM11" s="102">
        <f>INDEX(Customer!H$5:H$18,MATCH($C11,Customer!$A$5:$A$18,0))</f>
        <v>2763</v>
      </c>
      <c r="AN11" s="102">
        <f>INDEX(Customer!I$5:I$18,MATCH($C11,Customer!$A$5:$A$18,0))</f>
        <v>5529</v>
      </c>
      <c r="AO11" s="102">
        <f>INDEX(Customer!J$5:J$18,MATCH($C11,Customer!$A$5:$A$18,0))</f>
        <v>8321</v>
      </c>
      <c r="AP11" s="102">
        <f>INDEX(Customer!K$5:K$18,MATCH($C11,Customer!$A$5:$A$18,0))</f>
        <v>10913</v>
      </c>
      <c r="AQ11" s="102">
        <f>INDEX(Customer!L$5:L$18,MATCH($C11,Customer!$A$5:$A$18,0))</f>
        <v>6145</v>
      </c>
      <c r="AR11" s="102">
        <f>INDEX(Customer!M$5:M$18,MATCH($C11,Customer!$A$5:$A$18,0))</f>
        <v>10000</v>
      </c>
      <c r="AS11" s="102">
        <f>INDEX(Customer!N$5:N$18,MATCH($C11,Customer!$A$5:$A$18,0))</f>
        <v>12392</v>
      </c>
      <c r="AT11" s="102">
        <f>INDEX(Customer!O$5:O$18,MATCH($C11,Customer!$A$5:$A$18,0))</f>
        <v>13329</v>
      </c>
      <c r="AU11" s="102">
        <f>INDEX(Customer!P$5:P$18,MATCH($C11,Customer!$A$5:$A$18,0))</f>
        <v>8707</v>
      </c>
      <c r="AV11" s="102">
        <f>INDEX(Customer!Q$5:Q$18,MATCH($C11,Customer!$A$5:$A$18,0))</f>
        <v>20315</v>
      </c>
      <c r="AW11" s="102">
        <f>INDEX(Customer!R$5:R$18,MATCH($C11,Customer!$A$5:$A$18,0))</f>
        <v>21397</v>
      </c>
      <c r="AX11" s="102">
        <f>INDEX(Customer!S$5:S$18,MATCH($C11,Customer!$A$5:$A$18,0))</f>
        <v>11604</v>
      </c>
      <c r="AY11" s="102">
        <f>INDEX(Customer!T$5:T$18,MATCH($C11,Customer!$A$5:$A$18,0))</f>
        <v>7658</v>
      </c>
      <c r="AZ11" s="102">
        <f>INDEX(Customer!U$5:U$18,MATCH($C11,Customer!$A$5:$A$18,0))</f>
        <v>12860</v>
      </c>
      <c r="BA11" s="102">
        <f>INDEX(Customer!V$5:V$18,MATCH($C11,Customer!$A$5:$A$18,0))</f>
        <v>10142</v>
      </c>
      <c r="BB11" s="102">
        <f>INDEX(Customer!W$5:W$18,MATCH($C11,Customer!$A$5:$A$18,0))</f>
        <v>13018</v>
      </c>
      <c r="BC11" s="102">
        <f>INDEX(Customer!X$5:X$18,MATCH($C11,Customer!$A$5:$A$18,0))</f>
        <v>12499</v>
      </c>
      <c r="BD11" s="102">
        <f>INDEX(Customer!Y$5:Y$18,MATCH($C11,Customer!$A$5:$A$18,0))</f>
        <v>9299</v>
      </c>
      <c r="BE11" s="102">
        <f>INDEX(Customer!Z$5:Z$18,MATCH($C11,Customer!$A$5:$A$18,0))</f>
        <v>14218</v>
      </c>
      <c r="BF11" s="102">
        <f>INDEX(Customer!AA$5:AA$18,MATCH($C11,Customer!$A$5:$A$18,0))</f>
        <v>14087</v>
      </c>
      <c r="BG11" s="310">
        <f>INDEX(Customer!AB$5:AB$18,MATCH($C11,Customer!$A$5:$A$18,0))</f>
        <v>11544</v>
      </c>
      <c r="BH11" s="310">
        <f>INDEX(Customer!AC$5:AC$18,MATCH($C11,Customer!$A$5:$A$18,0))</f>
        <v>13527</v>
      </c>
      <c r="BI11" s="310">
        <f>INDEX(Customer!AD$5:AD$18,MATCH($C11,Customer!$A$5:$A$18,0))</f>
        <v>9522</v>
      </c>
      <c r="BJ11" s="310">
        <f>INDEX(Customer!AE$5:AE$18,MATCH($C11,Customer!$A$5:$A$18,0))</f>
        <v>9500</v>
      </c>
      <c r="BK11" s="310">
        <f>INDEX(Customer!AF$5:AF$18,MATCH($C11,Customer!$A$5:$A$18,0))</f>
        <v>9614</v>
      </c>
      <c r="BL11" s="310">
        <f>INDEX(Customer!AG$5:AG$18,MATCH($C11,Customer!$A$5:$A$18,0))</f>
        <v>15067</v>
      </c>
      <c r="BM11" s="310">
        <f>INDEX(Customer!AH$5:AH$18,MATCH($C11,Customer!$A$5:$A$18,0))</f>
        <v>15001</v>
      </c>
      <c r="BN11" s="310">
        <f>INDEX(Customer!AI$5:AI$18,MATCH($C11,Customer!$A$5:$A$18,0))</f>
        <v>10040</v>
      </c>
      <c r="BO11" s="310">
        <f>INDEX(Customer!AJ$5:AJ$18,MATCH($C11,Customer!$A$5:$A$18,0))</f>
        <v>7060</v>
      </c>
      <c r="BP11" s="310">
        <f>INDEX(Customer!AK$5:AK$18,MATCH($C11,Customer!$A$5:$A$18,0))</f>
        <v>18754</v>
      </c>
      <c r="BQ11" s="380">
        <f>INDEX(Customer!AL$5:AL$18,MATCH($C11,Customer!$A$5:$A$18,0))</f>
        <v>18407</v>
      </c>
      <c r="BR11" s="46">
        <f t="shared" ref="BQ11:CI11" si="3">BR22/BR25</f>
        <v>15083.482848000003</v>
      </c>
      <c r="BS11" s="46">
        <f t="shared" si="3"/>
        <v>15988.491818880004</v>
      </c>
      <c r="BT11" s="46">
        <f t="shared" si="3"/>
        <v>16947.801328012803</v>
      </c>
      <c r="BU11" s="46">
        <f t="shared" si="3"/>
        <v>17964.669407693575</v>
      </c>
      <c r="BV11" s="46">
        <f t="shared" si="3"/>
        <v>19042.549572155189</v>
      </c>
      <c r="BW11" s="46">
        <f t="shared" si="3"/>
        <v>20185.102546484501</v>
      </c>
      <c r="BX11" s="46">
        <f t="shared" si="3"/>
        <v>20487.879084681765</v>
      </c>
      <c r="BY11" s="46">
        <f t="shared" si="3"/>
        <v>20795.197270951991</v>
      </c>
      <c r="BZ11" s="46">
        <f t="shared" si="3"/>
        <v>21107.125230016271</v>
      </c>
      <c r="CA11" s="46">
        <f t="shared" si="3"/>
        <v>21423.732108466513</v>
      </c>
      <c r="CB11" s="46">
        <f t="shared" si="3"/>
        <v>21745.088090093508</v>
      </c>
      <c r="CC11" s="46">
        <f t="shared" si="3"/>
        <v>22071.26441144491</v>
      </c>
      <c r="CD11" s="46">
        <f t="shared" si="3"/>
        <v>22402.333377616582</v>
      </c>
      <c r="CE11" s="46">
        <f t="shared" si="3"/>
        <v>22738.368378280829</v>
      </c>
      <c r="CF11" s="46">
        <f t="shared" si="3"/>
        <v>23079.443903955038</v>
      </c>
      <c r="CG11" s="46">
        <f t="shared" si="3"/>
        <v>23425.635562514366</v>
      </c>
      <c r="CH11" s="46">
        <f t="shared" si="3"/>
        <v>23777.020095952077</v>
      </c>
      <c r="CI11" s="103">
        <f t="shared" si="3"/>
        <v>24133.675397391358</v>
      </c>
      <c r="CJ11" s="134"/>
    </row>
    <row r="12" spans="1:88" x14ac:dyDescent="0.3">
      <c r="A12" s="33"/>
      <c r="B12" s="34"/>
      <c r="C12" s="29" t="s">
        <v>222</v>
      </c>
      <c r="D12" s="36"/>
      <c r="E12" s="36"/>
      <c r="F12" s="36"/>
      <c r="G12" s="36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22">
        <f>INDEX(Customer!B$5:B$18,MATCH($C12,Customer!$A$5:$A$18,0))</f>
        <v>2257</v>
      </c>
      <c r="AH12" s="22">
        <f>INDEX(Customer!C$5:C$18,MATCH($C12,Customer!$A$5:$A$18,0))</f>
        <v>2474</v>
      </c>
      <c r="AI12" s="22">
        <f>INDEX(Customer!D$5:D$18,MATCH($C12,Customer!$A$5:$A$18,0))</f>
        <v>3077</v>
      </c>
      <c r="AJ12" s="22">
        <f>INDEX(Customer!E$5:E$18,MATCH($C12,Customer!$A$5:$A$18,0))</f>
        <v>3121</v>
      </c>
      <c r="AK12" s="22">
        <f>INDEX(Customer!F$5:F$18,MATCH($C12,Customer!$A$5:$A$18,0))</f>
        <v>3499</v>
      </c>
      <c r="AL12" s="22">
        <f>INDEX(Customer!G$5:G$18,MATCH($C12,Customer!$A$5:$A$18,0))</f>
        <v>3706</v>
      </c>
      <c r="AM12" s="22">
        <f>INDEX(Customer!H$5:H$18,MATCH($C12,Customer!$A$5:$A$18,0))</f>
        <v>3082</v>
      </c>
      <c r="AN12" s="22">
        <f>INDEX(Customer!I$5:I$18,MATCH($C12,Customer!$A$5:$A$18,0))</f>
        <v>3833</v>
      </c>
      <c r="AO12" s="22">
        <f>INDEX(Customer!J$5:J$18,MATCH($C12,Customer!$A$5:$A$18,0))</f>
        <v>3443</v>
      </c>
      <c r="AP12" s="22">
        <f>INDEX(Customer!K$5:K$18,MATCH($C12,Customer!$A$5:$A$18,0))</f>
        <v>6776</v>
      </c>
      <c r="AQ12" s="22">
        <f>INDEX(Customer!L$5:L$18,MATCH($C12,Customer!$A$5:$A$18,0))</f>
        <v>7607</v>
      </c>
      <c r="AR12" s="22">
        <f>INDEX(Customer!M$5:M$18,MATCH($C12,Customer!$A$5:$A$18,0))</f>
        <v>6661</v>
      </c>
      <c r="AS12" s="22">
        <f>INDEX(Customer!N$5:N$18,MATCH($C12,Customer!$A$5:$A$18,0))</f>
        <v>8245</v>
      </c>
      <c r="AT12" s="22">
        <f>INDEX(Customer!O$5:O$18,MATCH($C12,Customer!$A$5:$A$18,0))</f>
        <v>10330</v>
      </c>
      <c r="AU12" s="22">
        <f>INDEX(Customer!P$5:P$18,MATCH($C12,Customer!$A$5:$A$18,0))</f>
        <v>8840</v>
      </c>
      <c r="AV12" s="22">
        <f>INDEX(Customer!Q$5:Q$18,MATCH($C12,Customer!$A$5:$A$18,0))</f>
        <v>9958</v>
      </c>
      <c r="AW12" s="22">
        <f>INDEX(Customer!R$5:R$18,MATCH($C12,Customer!$A$5:$A$18,0))</f>
        <v>13051</v>
      </c>
      <c r="AX12" s="22">
        <f>INDEX(Customer!S$5:S$18,MATCH($C12,Customer!$A$5:$A$18,0))</f>
        <v>11969</v>
      </c>
      <c r="AY12" s="22">
        <f>INDEX(Customer!T$5:T$18,MATCH($C12,Customer!$A$5:$A$18,0))</f>
        <v>13337</v>
      </c>
      <c r="AZ12" s="22">
        <f>INDEX(Customer!U$5:U$18,MATCH($C12,Customer!$A$5:$A$18,0))</f>
        <v>12288</v>
      </c>
      <c r="BA12" s="22">
        <f>INDEX(Customer!V$5:V$18,MATCH($C12,Customer!$A$5:$A$18,0))</f>
        <v>9768</v>
      </c>
      <c r="BB12" s="22">
        <f>INDEX(Customer!W$5:W$18,MATCH($C12,Customer!$A$5:$A$18,0))</f>
        <v>10435</v>
      </c>
      <c r="BC12" s="22">
        <f>INDEX(Customer!X$5:X$18,MATCH($C12,Customer!$A$5:$A$18,0))</f>
        <v>11844</v>
      </c>
      <c r="BD12" s="22">
        <f>INDEX(Customer!Y$5:Y$18,MATCH($C12,Customer!$A$5:$A$18,0))</f>
        <v>11073</v>
      </c>
      <c r="BE12" s="22">
        <f>INDEX(Customer!Z$5:Z$18,MATCH($C12,Customer!$A$5:$A$18,0))</f>
        <v>11996</v>
      </c>
      <c r="BF12" s="22">
        <f>INDEX(Customer!AA$5:AA$18,MATCH($C12,Customer!$A$5:$A$18,0))</f>
        <v>14498</v>
      </c>
      <c r="BG12" s="311">
        <f>INDEX(Customer!AB$5:AB$18,MATCH($C12,Customer!$A$5:$A$18,0))</f>
        <v>12976</v>
      </c>
      <c r="BH12" s="311">
        <f>INDEX(Customer!AC$5:AC$18,MATCH($C12,Customer!$A$5:$A$18,0))</f>
        <v>11640</v>
      </c>
      <c r="BI12" s="311">
        <f>INDEX(Customer!AD$5:AD$18,MATCH($C12,Customer!$A$5:$A$18,0))</f>
        <v>13950</v>
      </c>
      <c r="BJ12" s="311">
        <f>INDEX(Customer!AE$5:AE$18,MATCH($C12,Customer!$A$5:$A$18,0))</f>
        <v>9831</v>
      </c>
      <c r="BK12" s="311">
        <f>INDEX(Customer!AF$5:AF$18,MATCH($C12,Customer!$A$5:$A$18,0))</f>
        <v>11488</v>
      </c>
      <c r="BL12" s="311">
        <f>INDEX(Customer!AG$5:AG$18,MATCH($C12,Customer!$A$5:$A$18,0))</f>
        <v>12040</v>
      </c>
      <c r="BM12" s="311">
        <f>INDEX(Customer!AH$5:AH$18,MATCH($C12,Customer!$A$5:$A$18,0))</f>
        <v>10446</v>
      </c>
      <c r="BN12" s="311">
        <f>INDEX(Customer!AI$5:AI$18,MATCH($C12,Customer!$A$5:$A$18,0))</f>
        <v>12294</v>
      </c>
      <c r="BO12" s="311">
        <f>INDEX(Customer!AJ$5:AJ$18,MATCH($C12,Customer!$A$5:$A$18,0))</f>
        <v>7233</v>
      </c>
      <c r="BP12" s="311">
        <f>INDEX(Customer!AK$5:AK$18,MATCH($C12,Customer!$A$5:$A$18,0))</f>
        <v>9094</v>
      </c>
      <c r="BQ12" s="381">
        <f>INDEX(Customer!AL$5:AL$18,MATCH($C12,Customer!$A$5:$A$18,0))</f>
        <v>13696</v>
      </c>
      <c r="BR12" s="52">
        <f t="shared" ref="BQ12:CI12" si="4">BR13*(BR7+BR11)</f>
        <v>14939.696569600001</v>
      </c>
      <c r="BS12" s="52">
        <f t="shared" si="4"/>
        <v>15149.455619456003</v>
      </c>
      <c r="BT12" s="52">
        <f t="shared" si="4"/>
        <v>15509.124761167364</v>
      </c>
      <c r="BU12" s="52">
        <f t="shared" si="4"/>
        <v>16000.233690472605</v>
      </c>
      <c r="BV12" s="52">
        <f t="shared" si="4"/>
        <v>16608.696866809125</v>
      </c>
      <c r="BW12" s="52">
        <f t="shared" si="4"/>
        <v>17323.978002744199</v>
      </c>
      <c r="BX12" s="52">
        <f t="shared" si="4"/>
        <v>17956.758219131712</v>
      </c>
      <c r="BY12" s="52">
        <f t="shared" si="4"/>
        <v>18524.446029495768</v>
      </c>
      <c r="BZ12" s="52">
        <f t="shared" si="4"/>
        <v>19040.981869599869</v>
      </c>
      <c r="CA12" s="52">
        <f t="shared" si="4"/>
        <v>19517.531917373199</v>
      </c>
      <c r="CB12" s="52">
        <f t="shared" si="4"/>
        <v>19963.043151917263</v>
      </c>
      <c r="CC12" s="52">
        <f t="shared" si="4"/>
        <v>20384.687403822794</v>
      </c>
      <c r="CD12" s="52">
        <f t="shared" si="4"/>
        <v>20788.216598581552</v>
      </c>
      <c r="CE12" s="52">
        <f t="shared" si="4"/>
        <v>21178.246954521404</v>
      </c>
      <c r="CF12" s="52">
        <f t="shared" si="4"/>
        <v>21558.486344408131</v>
      </c>
      <c r="CG12" s="52">
        <f t="shared" si="4"/>
        <v>21931.91618802938</v>
      </c>
      <c r="CH12" s="52">
        <f t="shared" si="4"/>
        <v>22300.936969613918</v>
      </c>
      <c r="CI12" s="104">
        <f t="shared" si="4"/>
        <v>22667.484655169406</v>
      </c>
      <c r="CJ12" s="269"/>
    </row>
    <row r="13" spans="1:88" x14ac:dyDescent="0.3">
      <c r="A13" s="320" t="s">
        <v>228</v>
      </c>
      <c r="B13" s="321">
        <f>Dashboard!C6</f>
        <v>0.2</v>
      </c>
      <c r="C13" s="29" t="s">
        <v>228</v>
      </c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108">
        <f>INDEX(Customer!B$5:B$18,MATCH($C13,Customer!$A$5:$A$18,0))</f>
        <v>0.20842183027056976</v>
      </c>
      <c r="AH13" s="108">
        <f>INDEX(Customer!C$5:C$18,MATCH($C13,Customer!$A$5:$A$18,0))</f>
        <v>0.2081965833543718</v>
      </c>
      <c r="AI13" s="108">
        <f>INDEX(Customer!D$5:D$18,MATCH($C13,Customer!$A$5:$A$18,0))</f>
        <v>0.23314138505834217</v>
      </c>
      <c r="AJ13" s="108">
        <f>INDEX(Customer!E$5:E$18,MATCH($C13,Customer!$A$5:$A$18,0))</f>
        <v>0.22537550548815713</v>
      </c>
      <c r="AK13" s="108">
        <f>INDEX(Customer!F$5:F$18,MATCH($C13,Customer!$A$5:$A$18,0))</f>
        <v>0.24789231314204746</v>
      </c>
      <c r="AL13" s="108">
        <f>INDEX(Customer!G$5:G$18,MATCH($C13,Customer!$A$5:$A$18,0))</f>
        <v>0.26833683295923538</v>
      </c>
      <c r="AM13" s="108">
        <f>INDEX(Customer!H$5:H$18,MATCH($C13,Customer!$A$5:$A$18,0))</f>
        <v>0.23950885918557663</v>
      </c>
      <c r="AN13" s="108">
        <f>INDEX(Customer!I$5:I$18,MATCH($C13,Customer!$A$5:$A$18,0))</f>
        <v>0.25027750571335294</v>
      </c>
      <c r="AO13" s="108">
        <f>INDEX(Customer!J$5:J$18,MATCH($C13,Customer!$A$5:$A$18,0))</f>
        <v>0.17386254607887694</v>
      </c>
      <c r="AP13" s="108">
        <f>INDEX(Customer!K$5:K$18,MATCH($C13,Customer!$A$5:$A$18,0))</f>
        <v>0.24845084882484508</v>
      </c>
      <c r="AQ13" s="108">
        <f>INDEX(Customer!L$5:L$18,MATCH($C13,Customer!$A$5:$A$18,0))</f>
        <v>0.2855266121162075</v>
      </c>
      <c r="AR13" s="108">
        <f>INDEX(Customer!M$5:M$18,MATCH($C13,Customer!$A$5:$A$18,0))</f>
        <v>0.2294127776821078</v>
      </c>
      <c r="AS13" s="108">
        <f>INDEX(Customer!N$5:N$18,MATCH($C13,Customer!$A$5:$A$18,0))</f>
        <v>0.23715699246390151</v>
      </c>
      <c r="AT13" s="108">
        <f>INDEX(Customer!O$5:O$18,MATCH($C13,Customer!$A$5:$A$18,0))</f>
        <v>0.25922208281053954</v>
      </c>
      <c r="AU13" s="108">
        <f>INDEX(Customer!P$5:P$18,MATCH($C13,Customer!$A$5:$A$18,0))</f>
        <v>0.23125016349700472</v>
      </c>
      <c r="AV13" s="108">
        <f>INDEX(Customer!Q$5:Q$18,MATCH($C13,Customer!$A$5:$A$18,0))</f>
        <v>0.20035411049857149</v>
      </c>
      <c r="AW13" s="108">
        <f>INDEX(Customer!R$5:R$18,MATCH($C13,Customer!$A$5:$A$18,0))</f>
        <v>0.21345741809914787</v>
      </c>
      <c r="AX13" s="108">
        <f>INDEX(Customer!S$5:S$18,MATCH($C13,Customer!$A$5:$A$18,0))</f>
        <v>0.20050591349214325</v>
      </c>
      <c r="AY13" s="108">
        <f>INDEX(Customer!T$5:T$18,MATCH($C13,Customer!$A$5:$A$18,0))</f>
        <v>0.24081396818518319</v>
      </c>
      <c r="AZ13" s="108">
        <f>INDEX(Customer!U$5:U$18,MATCH($C13,Customer!$A$5:$A$18,0))</f>
        <v>0.22380067752158234</v>
      </c>
      <c r="BA13" s="108">
        <f>INDEX(Customer!V$5:V$18,MATCH($C13,Customer!$A$5:$A$18,0))</f>
        <v>0.18514025777103865</v>
      </c>
      <c r="BB13" s="108">
        <f>INDEX(Customer!W$5:W$18,MATCH($C13,Customer!$A$5:$A$18,0))</f>
        <v>0.18630601678271738</v>
      </c>
      <c r="BC13" s="108">
        <f>INDEX(Customer!X$5:X$18,MATCH($C13,Customer!$A$5:$A$18,0))</f>
        <v>0.20394668870751112</v>
      </c>
      <c r="BD13" s="108">
        <f>INDEX(Customer!Y$5:Y$18,MATCH($C13,Customer!$A$5:$A$18,0))</f>
        <v>0.19940931765383854</v>
      </c>
      <c r="BE13" s="108">
        <f>INDEX(Customer!Z$5:Z$18,MATCH($C13,Customer!$A$5:$A$18,0))</f>
        <v>0.20445171626273989</v>
      </c>
      <c r="BF13" s="108">
        <f>INDEX(Customer!AA$5:AA$18,MATCH($C13,Customer!$A$5:$A$18,0))</f>
        <v>0.23859129433061796</v>
      </c>
      <c r="BG13" s="312">
        <f>INDEX(Customer!AB$5:AB$18,MATCH($C13,Customer!$A$5:$A$18,0))</f>
        <v>0.2244555534413866</v>
      </c>
      <c r="BH13" s="312">
        <f>INDEX(Customer!AC$5:AC$18,MATCH($C13,Customer!$A$5:$A$18,0))</f>
        <v>0.2</v>
      </c>
      <c r="BI13" s="312">
        <f>INDEX(Customer!AD$5:AD$18,MATCH($C13,Customer!$A$5:$A$18,0))</f>
        <v>0.25</v>
      </c>
      <c r="BJ13" s="312">
        <f>INDEX(Customer!AE$5:AE$18,MATCH($C13,Customer!$A$5:$A$18,0))</f>
        <v>0.19</v>
      </c>
      <c r="BK13" s="312">
        <f>INDEX(Customer!AF$5:AF$18,MATCH($C13,Customer!$A$5:$A$18,0))</f>
        <v>0.22</v>
      </c>
      <c r="BL13" s="312">
        <f>INDEX(Customer!AG$5:AG$18,MATCH($C13,Customer!$A$5:$A$18,0))</f>
        <v>0.22</v>
      </c>
      <c r="BM13" s="312">
        <f>INDEX(Customer!AH$5:AH$18,MATCH($C13,Customer!$A$5:$A$18,0))</f>
        <v>0.18</v>
      </c>
      <c r="BN13" s="312">
        <f>INDEX(Customer!AI$5:AI$18,MATCH($C13,Customer!$A$5:$A$18,0))</f>
        <v>0.21</v>
      </c>
      <c r="BO13" s="312">
        <f>INDEX(Customer!AJ$5:AJ$18,MATCH($C13,Customer!$A$5:$A$18,0))</f>
        <v>0.13783181203193781</v>
      </c>
      <c r="BP13" s="312">
        <f>INDEX(Customer!AK$5:AK$18,MATCH($C13,Customer!$A$5:$A$18,0))</f>
        <v>0.14209819056845527</v>
      </c>
      <c r="BQ13" s="384">
        <f>INDEX(Customer!AL$5:AL$18,MATCH($C13,Customer!$A$5:$A$18,0))</f>
        <v>0.18682053170738361</v>
      </c>
      <c r="BR13" s="53">
        <f t="shared" ref="BQ13:CI13" si="5">$B$13</f>
        <v>0.2</v>
      </c>
      <c r="BS13" s="53">
        <f t="shared" si="5"/>
        <v>0.2</v>
      </c>
      <c r="BT13" s="53">
        <f t="shared" si="5"/>
        <v>0.2</v>
      </c>
      <c r="BU13" s="53">
        <f t="shared" si="5"/>
        <v>0.2</v>
      </c>
      <c r="BV13" s="53">
        <f t="shared" si="5"/>
        <v>0.2</v>
      </c>
      <c r="BW13" s="53">
        <f t="shared" si="5"/>
        <v>0.2</v>
      </c>
      <c r="BX13" s="53">
        <f t="shared" si="5"/>
        <v>0.2</v>
      </c>
      <c r="BY13" s="53">
        <f t="shared" si="5"/>
        <v>0.2</v>
      </c>
      <c r="BZ13" s="53">
        <f t="shared" si="5"/>
        <v>0.2</v>
      </c>
      <c r="CA13" s="53">
        <f t="shared" si="5"/>
        <v>0.2</v>
      </c>
      <c r="CB13" s="53">
        <f t="shared" si="5"/>
        <v>0.2</v>
      </c>
      <c r="CC13" s="53">
        <f t="shared" si="5"/>
        <v>0.2</v>
      </c>
      <c r="CD13" s="53">
        <f t="shared" si="5"/>
        <v>0.2</v>
      </c>
      <c r="CE13" s="53">
        <f t="shared" si="5"/>
        <v>0.2</v>
      </c>
      <c r="CF13" s="53">
        <f t="shared" si="5"/>
        <v>0.2</v>
      </c>
      <c r="CG13" s="53">
        <f t="shared" si="5"/>
        <v>0.2</v>
      </c>
      <c r="CH13" s="53">
        <f t="shared" si="5"/>
        <v>0.2</v>
      </c>
      <c r="CI13" s="109">
        <f t="shared" si="5"/>
        <v>0.2</v>
      </c>
      <c r="CJ13" s="135"/>
    </row>
    <row r="14" spans="1:88" x14ac:dyDescent="0.3">
      <c r="A14" s="33"/>
      <c r="B14" s="34"/>
      <c r="C14" s="69" t="s">
        <v>218</v>
      </c>
      <c r="D14" s="70"/>
      <c r="E14" s="70"/>
      <c r="F14" s="70"/>
      <c r="G14" s="70"/>
      <c r="H14" s="70"/>
      <c r="I14" s="70"/>
      <c r="J14" s="70"/>
      <c r="K14" s="70"/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70"/>
      <c r="AC14" s="70"/>
      <c r="AD14" s="70"/>
      <c r="AE14" s="70"/>
      <c r="AF14" s="70"/>
      <c r="AG14" s="100">
        <f>INDEX(Customer!B$5:B$18,MATCH($C14,Customer!$A$5:$A$18,0))</f>
        <v>0</v>
      </c>
      <c r="AH14" s="100">
        <f>INDEX(Customer!C$5:C$18,MATCH($C14,Customer!$A$5:$A$18,0))</f>
        <v>0</v>
      </c>
      <c r="AI14" s="100">
        <f>INDEX(Customer!D$5:D$18,MATCH($C14,Customer!$A$5:$A$18,0))</f>
        <v>0</v>
      </c>
      <c r="AJ14" s="100">
        <f>INDEX(Customer!E$5:E$18,MATCH($C14,Customer!$A$5:$A$18,0))</f>
        <v>0</v>
      </c>
      <c r="AK14" s="100">
        <f>INDEX(Customer!F$5:F$18,MATCH($C14,Customer!$A$5:$A$18,0))</f>
        <v>0</v>
      </c>
      <c r="AL14" s="100">
        <f>INDEX(Customer!G$5:G$18,MATCH($C14,Customer!$A$5:$A$18,0))</f>
        <v>0</v>
      </c>
      <c r="AM14" s="100">
        <f>INDEX(Customer!H$5:H$18,MATCH($C14,Customer!$A$5:$A$18,0))</f>
        <v>0</v>
      </c>
      <c r="AN14" s="100">
        <f>INDEX(Customer!I$5:I$18,MATCH($C14,Customer!$A$5:$A$18,0))</f>
        <v>0</v>
      </c>
      <c r="AO14" s="100">
        <f>INDEX(Customer!J$5:J$18,MATCH($C14,Customer!$A$5:$A$18,0))</f>
        <v>0</v>
      </c>
      <c r="AP14" s="100">
        <f>INDEX(Customer!K$5:K$18,MATCH($C14,Customer!$A$5:$A$18,0))</f>
        <v>0</v>
      </c>
      <c r="AQ14" s="100">
        <f>INDEX(Customer!L$5:L$18,MATCH($C14,Customer!$A$5:$A$18,0))</f>
        <v>0</v>
      </c>
      <c r="AR14" s="100">
        <f>INDEX(Customer!M$5:M$18,MATCH($C14,Customer!$A$5:$A$18,0))</f>
        <v>0</v>
      </c>
      <c r="AS14" s="100">
        <f>INDEX(Customer!N$5:N$18,MATCH($C14,Customer!$A$5:$A$18,0))</f>
        <v>0</v>
      </c>
      <c r="AT14" s="100">
        <f>INDEX(Customer!O$5:O$18,MATCH($C14,Customer!$A$5:$A$18,0))</f>
        <v>0</v>
      </c>
      <c r="AU14" s="100">
        <f>INDEX(Customer!P$5:P$18,MATCH($C14,Customer!$A$5:$A$18,0))</f>
        <v>0</v>
      </c>
      <c r="AV14" s="100">
        <f>INDEX(Customer!Q$5:Q$18,MATCH($C14,Customer!$A$5:$A$18,0))</f>
        <v>0</v>
      </c>
      <c r="AW14" s="100">
        <f>INDEX(Customer!R$5:R$18,MATCH($C14,Customer!$A$5:$A$18,0))</f>
        <v>0</v>
      </c>
      <c r="AX14" s="100">
        <f>INDEX(Customer!S$5:S$18,MATCH($C14,Customer!$A$5:$A$18,0))</f>
        <v>0</v>
      </c>
      <c r="AY14" s="100">
        <f>INDEX(Customer!T$5:T$18,MATCH($C14,Customer!$A$5:$A$18,0))</f>
        <v>0</v>
      </c>
      <c r="AZ14" s="100">
        <f>INDEX(Customer!U$5:U$18,MATCH($C14,Customer!$A$5:$A$18,0))</f>
        <v>0</v>
      </c>
      <c r="BA14" s="100">
        <f>INDEX(Customer!V$5:V$18,MATCH($C14,Customer!$A$5:$A$18,0))</f>
        <v>0</v>
      </c>
      <c r="BB14" s="100">
        <f>INDEX(Customer!W$5:W$18,MATCH($C14,Customer!$A$5:$A$18,0))</f>
        <v>0</v>
      </c>
      <c r="BC14" s="100">
        <f>INDEX(Customer!X$5:X$18,MATCH($C14,Customer!$A$5:$A$18,0))</f>
        <v>0</v>
      </c>
      <c r="BD14" s="100">
        <f>INDEX(Customer!Y$5:Y$18,MATCH($C14,Customer!$A$5:$A$18,0))</f>
        <v>0</v>
      </c>
      <c r="BE14" s="100">
        <f>INDEX(Customer!Z$5:Z$18,MATCH($C14,Customer!$A$5:$A$18,0))</f>
        <v>0</v>
      </c>
      <c r="BF14" s="100">
        <f>INDEX(Customer!AA$5:AA$18,MATCH($C14,Customer!$A$5:$A$18,0))</f>
        <v>0</v>
      </c>
      <c r="BG14" s="309">
        <f>INDEX(Customer!AB$5:AB$18,MATCH($C14,Customer!$A$5:$A$18,0))</f>
        <v>0</v>
      </c>
      <c r="BH14" s="309">
        <f>INDEX(Customer!AC$5:AC$18,MATCH($C14,Customer!$A$5:$A$18,0))</f>
        <v>0</v>
      </c>
      <c r="BI14" s="309">
        <f>INDEX(Customer!AD$5:AD$18,MATCH($C14,Customer!$A$5:$A$18,0))</f>
        <v>0</v>
      </c>
      <c r="BJ14" s="309">
        <f>INDEX(Customer!AE$5:AE$18,MATCH($C14,Customer!$A$5:$A$18,0))</f>
        <v>0</v>
      </c>
      <c r="BK14" s="309">
        <f>INDEX(Customer!AF$5:AF$18,MATCH($C14,Customer!$A$5:$A$18,0))</f>
        <v>0</v>
      </c>
      <c r="BL14" s="309">
        <f>INDEX(Customer!AG$5:AG$18,MATCH($C14,Customer!$A$5:$A$18,0))</f>
        <v>0</v>
      </c>
      <c r="BM14" s="309">
        <f>INDEX(Customer!AH$5:AH$18,MATCH($C14,Customer!$A$5:$A$18,0))</f>
        <v>0</v>
      </c>
      <c r="BN14" s="309">
        <f>INDEX(Customer!AI$5:AI$18,MATCH($C14,Customer!$A$5:$A$18,0))</f>
        <v>0</v>
      </c>
      <c r="BO14" s="309">
        <f>INDEX(Customer!AJ$5:AJ$18,MATCH($C14,Customer!$A$5:$A$18,0))</f>
        <v>0</v>
      </c>
      <c r="BP14" s="309">
        <f>INDEX(Customer!AK$5:AK$18,MATCH($C14,Customer!$A$5:$A$18,0))</f>
        <v>0</v>
      </c>
      <c r="BQ14" s="383">
        <f>INDEX(Customer!AL$5:AL$18,MATCH($C14,Customer!$A$5:$A$18,0))</f>
        <v>0</v>
      </c>
      <c r="BR14" s="72"/>
      <c r="BS14" s="72"/>
      <c r="BT14" s="72"/>
      <c r="BU14" s="72"/>
      <c r="BV14" s="72"/>
      <c r="BW14" s="72"/>
      <c r="BX14" s="72"/>
      <c r="BY14" s="72"/>
      <c r="BZ14" s="72"/>
      <c r="CA14" s="72"/>
      <c r="CB14" s="72"/>
      <c r="CC14" s="72"/>
      <c r="CD14" s="72"/>
      <c r="CE14" s="72"/>
      <c r="CF14" s="72"/>
      <c r="CG14" s="72"/>
      <c r="CH14" s="72"/>
      <c r="CI14" s="101"/>
      <c r="CJ14" s="134"/>
    </row>
    <row r="15" spans="1:88" x14ac:dyDescent="0.3">
      <c r="A15" s="33"/>
      <c r="B15" s="34"/>
      <c r="C15" s="29" t="s">
        <v>221</v>
      </c>
      <c r="D15" s="35"/>
      <c r="E15" s="35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  <c r="AF15" s="35"/>
      <c r="AG15" s="102">
        <f>INDEX(Customer!B$5:B$18,MATCH($C15,Customer!$A$5:$A$18,0))</f>
        <v>10473</v>
      </c>
      <c r="AH15" s="102">
        <f>INDEX(Customer!C$5:C$18,MATCH($C15,Customer!$A$5:$A$18,0))</f>
        <v>10858</v>
      </c>
      <c r="AI15" s="102">
        <f>INDEX(Customer!D$5:D$18,MATCH($C15,Customer!$A$5:$A$18,0))</f>
        <v>12998</v>
      </c>
      <c r="AJ15" s="102">
        <f>INDEX(Customer!E$5:E$18,MATCH($C15,Customer!$A$5:$A$18,0))</f>
        <v>12099</v>
      </c>
      <c r="AK15" s="102">
        <f>INDEX(Customer!F$5:F$18,MATCH($C15,Customer!$A$5:$A$18,0))</f>
        <v>13467</v>
      </c>
      <c r="AL15" s="102">
        <f>INDEX(Customer!G$5:G$18,MATCH($C15,Customer!$A$5:$A$18,0))</f>
        <v>12571</v>
      </c>
      <c r="AM15" s="102">
        <f>INDEX(Customer!H$5:H$18,MATCH($C15,Customer!$A$5:$A$18,0))</f>
        <v>11565</v>
      </c>
      <c r="AN15" s="102">
        <f>INDEX(Customer!I$5:I$18,MATCH($C15,Customer!$A$5:$A$18,0))</f>
        <v>12708</v>
      </c>
      <c r="AO15" s="102">
        <f>INDEX(Customer!J$5:J$18,MATCH($C15,Customer!$A$5:$A$18,0))</f>
        <v>12825</v>
      </c>
      <c r="AP15" s="102">
        <f>INDEX(Customer!K$5:K$18,MATCH($C15,Customer!$A$5:$A$18,0))</f>
        <v>26350</v>
      </c>
      <c r="AQ15" s="102">
        <f>INDEX(Customer!L$5:L$18,MATCH($C15,Customer!$A$5:$A$18,0))</f>
        <v>25166</v>
      </c>
      <c r="AR15" s="102">
        <f>INDEX(Customer!M$5:M$18,MATCH($C15,Customer!$A$5:$A$18,0))</f>
        <v>24819</v>
      </c>
      <c r="AS15" s="102">
        <f>INDEX(Customer!N$5:N$18,MATCH($C15,Customer!$A$5:$A$18,0))</f>
        <v>29499</v>
      </c>
      <c r="AT15" s="102">
        <f>INDEX(Customer!O$5:O$18,MATCH($C15,Customer!$A$5:$A$18,0))</f>
        <v>30699</v>
      </c>
      <c r="AU15" s="102">
        <f>INDEX(Customer!P$5:P$18,MATCH($C15,Customer!$A$5:$A$18,0))</f>
        <v>31534</v>
      </c>
      <c r="AV15" s="102">
        <f>INDEX(Customer!Q$5:Q$18,MATCH($C15,Customer!$A$5:$A$18,0))</f>
        <v>34320</v>
      </c>
      <c r="AW15" s="102">
        <f>INDEX(Customer!R$5:R$18,MATCH($C15,Customer!$A$5:$A$18,0))</f>
        <v>45585</v>
      </c>
      <c r="AX15" s="102">
        <f>INDEX(Customer!S$5:S$18,MATCH($C15,Customer!$A$5:$A$18,0))</f>
        <v>42517</v>
      </c>
      <c r="AY15" s="102">
        <f>INDEX(Customer!T$5:T$18,MATCH($C15,Customer!$A$5:$A$18,0))</f>
        <v>42981</v>
      </c>
      <c r="AZ15" s="102">
        <f>INDEX(Customer!U$5:U$18,MATCH($C15,Customer!$A$5:$A$18,0))</f>
        <v>51323</v>
      </c>
      <c r="BA15" s="102">
        <f>INDEX(Customer!V$5:V$18,MATCH($C15,Customer!$A$5:$A$18,0))</f>
        <v>43649</v>
      </c>
      <c r="BB15" s="102">
        <f>INDEX(Customer!W$5:W$18,MATCH($C15,Customer!$A$5:$A$18,0))</f>
        <v>49603</v>
      </c>
      <c r="BC15" s="102">
        <f>INDEX(Customer!X$5:X$18,MATCH($C15,Customer!$A$5:$A$18,0))</f>
        <v>47270</v>
      </c>
      <c r="BD15" s="102">
        <f>INDEX(Customer!Y$5:Y$18,MATCH($C15,Customer!$A$5:$A$18,0))</f>
        <v>49135</v>
      </c>
      <c r="BE15" s="102">
        <f>INDEX(Customer!Z$5:Z$18,MATCH($C15,Customer!$A$5:$A$18,0))</f>
        <v>48725</v>
      </c>
      <c r="BF15" s="102">
        <f>INDEX(Customer!AA$5:AA$18,MATCH($C15,Customer!$A$5:$A$18,0))</f>
        <v>54705</v>
      </c>
      <c r="BG15" s="310">
        <f>INDEX(Customer!AB$5:AB$18,MATCH($C15,Customer!$A$5:$A$18,0))</f>
        <v>50857</v>
      </c>
      <c r="BH15" s="310">
        <f>INDEX(Customer!AC$5:AC$18,MATCH($C15,Customer!$A$5:$A$18,0))</f>
        <v>45400</v>
      </c>
      <c r="BI15" s="310">
        <f>INDEX(Customer!AD$5:AD$18,MATCH($C15,Customer!$A$5:$A$18,0))</f>
        <v>52505</v>
      </c>
      <c r="BJ15" s="310">
        <f>INDEX(Customer!AE$5:AE$18,MATCH($C15,Customer!$A$5:$A$18,0))</f>
        <v>44619</v>
      </c>
      <c r="BK15" s="310">
        <f>INDEX(Customer!AF$5:AF$18,MATCH($C15,Customer!$A$5:$A$18,0))</f>
        <v>43101</v>
      </c>
      <c r="BL15" s="310">
        <f>INDEX(Customer!AG$5:AG$18,MATCH($C15,Customer!$A$5:$A$18,0))</f>
        <v>49376</v>
      </c>
      <c r="BM15" s="310">
        <f>INDEX(Customer!AH$5:AH$18,MATCH($C15,Customer!$A$5:$A$18,0))</f>
        <v>46496</v>
      </c>
      <c r="BN15" s="310">
        <f>INDEX(Customer!AI$5:AI$18,MATCH($C15,Customer!$A$5:$A$18,0))</f>
        <v>43701</v>
      </c>
      <c r="BO15" s="310">
        <f>INDEX(Customer!AJ$5:AJ$18,MATCH($C15,Customer!$A$5:$A$18,0))</f>
        <v>33189</v>
      </c>
      <c r="BP15" s="310">
        <f>INDEX(Customer!AK$5:AK$18,MATCH($C15,Customer!$A$5:$A$18,0))</f>
        <v>50154</v>
      </c>
      <c r="BQ15" s="380">
        <f>INDEX(Customer!AL$5:AL$18,MATCH($C15,Customer!$A$5:$A$18,0))</f>
        <v>52753</v>
      </c>
      <c r="BR15" s="46">
        <f t="shared" ref="BQ15:CI15" si="6">BR20*BR8</f>
        <v>65734.66490624001</v>
      </c>
      <c r="BS15" s="46">
        <f t="shared" si="6"/>
        <v>66657.604725606419</v>
      </c>
      <c r="BT15" s="46">
        <f t="shared" si="6"/>
        <v>68240.148949136405</v>
      </c>
      <c r="BU15" s="46">
        <f t="shared" si="6"/>
        <v>70401.028238079467</v>
      </c>
      <c r="BV15" s="46">
        <f t="shared" si="6"/>
        <v>73078.266213960145</v>
      </c>
      <c r="BW15" s="46">
        <f t="shared" si="6"/>
        <v>76225.503212074473</v>
      </c>
      <c r="BX15" s="46">
        <f t="shared" si="6"/>
        <v>79009.736164179543</v>
      </c>
      <c r="BY15" s="46">
        <f t="shared" si="6"/>
        <v>81507.562529781382</v>
      </c>
      <c r="BZ15" s="46">
        <f t="shared" si="6"/>
        <v>83780.320226239433</v>
      </c>
      <c r="CA15" s="46">
        <f t="shared" si="6"/>
        <v>85877.140436442074</v>
      </c>
      <c r="CB15" s="46">
        <f t="shared" si="6"/>
        <v>87837.389868435959</v>
      </c>
      <c r="CC15" s="46">
        <f t="shared" si="6"/>
        <v>89692.624576820279</v>
      </c>
      <c r="CD15" s="46">
        <f t="shared" si="6"/>
        <v>91468.153033758819</v>
      </c>
      <c r="CE15" s="46">
        <f t="shared" si="6"/>
        <v>93184.286599894185</v>
      </c>
      <c r="CF15" s="46">
        <f t="shared" si="6"/>
        <v>94857.339915395787</v>
      </c>
      <c r="CG15" s="46">
        <f t="shared" si="6"/>
        <v>96500.43122732926</v>
      </c>
      <c r="CH15" s="46">
        <f t="shared" si="6"/>
        <v>98124.122666301235</v>
      </c>
      <c r="CI15" s="103">
        <f t="shared" si="6"/>
        <v>99736.932482745382</v>
      </c>
      <c r="CJ15" s="134"/>
    </row>
    <row r="16" spans="1:88" x14ac:dyDescent="0.3">
      <c r="A16" s="33"/>
      <c r="B16" s="34"/>
      <c r="C16" s="29" t="s">
        <v>237</v>
      </c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7">
        <f>INDEX(Customer!B$5:B$18,MATCH($C16,Customer!$A$5:$A$18,0))</f>
        <v>0</v>
      </c>
      <c r="AH16" s="37">
        <f>INDEX(Customer!C$5:C$18,MATCH($C16,Customer!$A$5:$A$18,0))</f>
        <v>0</v>
      </c>
      <c r="AI16" s="102">
        <f>INDEX(Customer!D$5:D$18,MATCH($C16,Customer!$A$5:$A$18,0))</f>
        <v>52598</v>
      </c>
      <c r="AJ16" s="102">
        <f>INDEX(Customer!E$5:E$18,MATCH($C16,Customer!$A$5:$A$18,0))</f>
        <v>47302</v>
      </c>
      <c r="AK16" s="102">
        <f>INDEX(Customer!F$5:F$18,MATCH($C16,Customer!$A$5:$A$18,0))</f>
        <v>51962</v>
      </c>
      <c r="AL16" s="102">
        <f>INDEX(Customer!G$5:G$18,MATCH($C16,Customer!$A$5:$A$18,0))</f>
        <v>50168</v>
      </c>
      <c r="AM16" s="102">
        <f>INDEX(Customer!H$5:H$18,MATCH($C16,Customer!$A$5:$A$18,0))</f>
        <v>50242</v>
      </c>
      <c r="AN16" s="102">
        <f>INDEX(Customer!I$5:I$18,MATCH($C16,Customer!$A$5:$A$18,0))</f>
        <v>56070</v>
      </c>
      <c r="AO16" s="102">
        <f>INDEX(Customer!J$5:J$18,MATCH($C16,Customer!$A$5:$A$18,0))</f>
        <v>56292</v>
      </c>
      <c r="AP16" s="102">
        <f>INDEX(Customer!K$5:K$18,MATCH($C16,Customer!$A$5:$A$18,0))</f>
        <v>107176</v>
      </c>
      <c r="AQ16" s="102">
        <f>INDEX(Customer!L$5:L$18,MATCH($C16,Customer!$A$5:$A$18,0))</f>
        <v>122081</v>
      </c>
      <c r="AR16" s="102">
        <f>INDEX(Customer!M$5:M$18,MATCH($C16,Customer!$A$5:$A$18,0))</f>
        <v>131452</v>
      </c>
      <c r="AS16" s="102">
        <f>INDEX(Customer!N$5:N$18,MATCH($C16,Customer!$A$5:$A$18,0))</f>
        <v>152317</v>
      </c>
      <c r="AT16" s="102">
        <f>INDEX(Customer!O$5:O$18,MATCH($C16,Customer!$A$5:$A$18,0))</f>
        <v>165713</v>
      </c>
      <c r="AU16" s="102">
        <f>INDEX(Customer!P$5:P$18,MATCH($C16,Customer!$A$5:$A$18,0))</f>
        <v>199774</v>
      </c>
      <c r="AV16" s="102">
        <f>INDEX(Customer!Q$5:Q$18,MATCH($C16,Customer!$A$5:$A$18,0))</f>
        <v>211654</v>
      </c>
      <c r="AW16" s="102">
        <f>INDEX(Customer!R$5:R$18,MATCH($C16,Customer!$A$5:$A$18,0))</f>
        <v>287338</v>
      </c>
      <c r="AX16" s="102">
        <f>INDEX(Customer!S$5:S$18,MATCH($C16,Customer!$A$5:$A$18,0))</f>
        <v>275248</v>
      </c>
      <c r="AY16" s="102">
        <f>INDEX(Customer!T$5:T$18,MATCH($C16,Customer!$A$5:$A$18,0))</f>
        <v>296999</v>
      </c>
      <c r="AZ16" s="102">
        <f>INDEX(Customer!U$5:U$18,MATCH($C16,Customer!$A$5:$A$18,0))</f>
        <v>363040</v>
      </c>
      <c r="BA16" s="102">
        <f>INDEX(Customer!V$5:V$18,MATCH($C16,Customer!$A$5:$A$18,0))</f>
        <v>303230</v>
      </c>
      <c r="BB16" s="102">
        <f>INDEX(Customer!W$5:W$18,MATCH($C16,Customer!$A$5:$A$18,0))</f>
        <v>344442</v>
      </c>
      <c r="BC16" s="102">
        <f>INDEX(Customer!X$5:X$18,MATCH($C16,Customer!$A$5:$A$18,0))</f>
        <v>330562</v>
      </c>
      <c r="BD16" s="102">
        <f>INDEX(Customer!Y$5:Y$18,MATCH($C16,Customer!$A$5:$A$18,0))</f>
        <v>347333</v>
      </c>
      <c r="BE16" s="102">
        <f>INDEX(Customer!Z$5:Z$18,MATCH($C16,Customer!$A$5:$A$18,0))</f>
        <v>331752</v>
      </c>
      <c r="BF16" s="102">
        <f>INDEX(Customer!AA$5:AA$18,MATCH($C16,Customer!$A$5:$A$18,0))</f>
        <v>387547</v>
      </c>
      <c r="BG16" s="310">
        <f>INDEX(Customer!AB$5:AB$18,MATCH($C16,Customer!$A$5:$A$18,0))</f>
        <v>363015</v>
      </c>
      <c r="BH16" s="310">
        <f>INDEX(Customer!AC$5:AC$18,MATCH($C16,Customer!$A$5:$A$18,0))</f>
        <v>320230</v>
      </c>
      <c r="BI16" s="310">
        <f>INDEX(Customer!AD$5:AD$18,MATCH($C16,Customer!$A$5:$A$18,0))</f>
        <v>373497</v>
      </c>
      <c r="BJ16" s="310">
        <f>INDEX(Customer!AE$5:AE$18,MATCH($C16,Customer!$A$5:$A$18,0))</f>
        <v>318388</v>
      </c>
      <c r="BK16" s="310">
        <f>INDEX(Customer!AF$5:AF$18,MATCH($C16,Customer!$A$5:$A$18,0))</f>
        <v>315966</v>
      </c>
      <c r="BL16" s="310">
        <f>INDEX(Customer!AG$5:AG$18,MATCH($C16,Customer!$A$5:$A$18,0))</f>
        <v>355026</v>
      </c>
      <c r="BM16" s="310">
        <f>INDEX(Customer!AH$5:AH$18,MATCH($C16,Customer!$A$5:$A$18,0))</f>
        <v>354422</v>
      </c>
      <c r="BN16" s="310">
        <f>INDEX(Customer!AI$5:AI$18,MATCH($C16,Customer!$A$5:$A$18,0))</f>
        <v>355024</v>
      </c>
      <c r="BO16" s="310">
        <f>INDEX(Customer!AJ$5:AJ$18,MATCH($C16,Customer!$A$5:$A$18,0))</f>
        <v>275444</v>
      </c>
      <c r="BP16" s="310">
        <f>INDEX(Customer!AK$5:AK$18,MATCH($C16,Customer!$A$5:$A$18,0))</f>
        <v>389849</v>
      </c>
      <c r="BQ16" s="380">
        <f>INDEX(Customer!AL$5:AL$18,MATCH($C16,Customer!$A$5:$A$18,0))</f>
        <v>406659</v>
      </c>
      <c r="BR16" s="46"/>
      <c r="BS16" s="46"/>
      <c r="BT16" s="46"/>
      <c r="BU16" s="46"/>
      <c r="BV16" s="46"/>
      <c r="BW16" s="46"/>
      <c r="BX16" s="46"/>
      <c r="BY16" s="46"/>
      <c r="BZ16" s="46"/>
      <c r="CA16" s="46"/>
      <c r="CB16" s="46"/>
      <c r="CC16" s="46"/>
      <c r="CD16" s="46"/>
      <c r="CE16" s="46"/>
      <c r="CF16" s="46"/>
      <c r="CG16" s="46"/>
      <c r="CH16" s="46"/>
      <c r="CI16" s="103"/>
      <c r="CJ16" s="134"/>
    </row>
    <row r="17" spans="1:88" x14ac:dyDescent="0.3">
      <c r="A17" s="33"/>
      <c r="B17" s="34"/>
      <c r="C17" s="29" t="s">
        <v>219</v>
      </c>
      <c r="D17" s="36"/>
      <c r="E17" s="36"/>
      <c r="F17" s="36"/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22">
        <f>INDEX(Customer!B$5:B$18,MATCH($C17,Customer!$A$5:$A$18,0))</f>
        <v>28430</v>
      </c>
      <c r="AH17" s="22">
        <f>INDEX(Customer!C$5:C$18,MATCH($C17,Customer!$A$5:$A$18,0))</f>
        <v>25206</v>
      </c>
      <c r="AI17" s="22">
        <f>INDEX(Customer!D$5:D$18,MATCH($C17,Customer!$A$5:$A$18,0))</f>
        <v>32995</v>
      </c>
      <c r="AJ17" s="22">
        <f>INDEX(Customer!E$5:E$18,MATCH($C17,Customer!$A$5:$A$18,0))</f>
        <v>29145</v>
      </c>
      <c r="AK17" s="22">
        <f>INDEX(Customer!F$5:F$18,MATCH($C17,Customer!$A$5:$A$18,0))</f>
        <v>31702</v>
      </c>
      <c r="AL17" s="22">
        <f>INDEX(Customer!G$5:G$18,MATCH($C17,Customer!$A$5:$A$18,0))</f>
        <v>28749</v>
      </c>
      <c r="AM17" s="22">
        <f>INDEX(Customer!H$5:H$18,MATCH($C17,Customer!$A$5:$A$18,0))</f>
        <v>25747</v>
      </c>
      <c r="AN17" s="22">
        <f>INDEX(Customer!I$5:I$18,MATCH($C17,Customer!$A$5:$A$18,0))</f>
        <v>33946</v>
      </c>
      <c r="AO17" s="22">
        <f>INDEX(Customer!J$5:J$18,MATCH($C17,Customer!$A$5:$A$18,0))</f>
        <v>28593</v>
      </c>
      <c r="AP17" s="22">
        <f>INDEX(Customer!K$5:K$18,MATCH($C17,Customer!$A$5:$A$18,0))</f>
        <v>44750</v>
      </c>
      <c r="AQ17" s="22">
        <f>INDEX(Customer!L$5:L$18,MATCH($C17,Customer!$A$5:$A$18,0))</f>
        <v>67852</v>
      </c>
      <c r="AR17" s="22">
        <f>INDEX(Customer!M$5:M$18,MATCH($C17,Customer!$A$5:$A$18,0))</f>
        <v>71942</v>
      </c>
      <c r="AS17" s="22">
        <f>INDEX(Customer!N$5:N$18,MATCH($C17,Customer!$A$5:$A$18,0))</f>
        <v>84700</v>
      </c>
      <c r="AT17" s="22">
        <f>INDEX(Customer!O$5:O$18,MATCH($C17,Customer!$A$5:$A$18,0))</f>
        <v>81100</v>
      </c>
      <c r="AU17" s="22">
        <f>INDEX(Customer!P$5:P$18,MATCH($C17,Customer!$A$5:$A$18,0))</f>
        <v>117403</v>
      </c>
      <c r="AV17" s="22">
        <f>INDEX(Customer!Q$5:Q$18,MATCH($C17,Customer!$A$5:$A$18,0))</f>
        <v>130550</v>
      </c>
      <c r="AW17" s="22">
        <f>INDEX(Customer!R$5:R$18,MATCH($C17,Customer!$A$5:$A$18,0))</f>
        <v>162936</v>
      </c>
      <c r="AX17" s="22">
        <f>INDEX(Customer!S$5:S$18,MATCH($C17,Customer!$A$5:$A$18,0))</f>
        <v>169651</v>
      </c>
      <c r="AY17" s="22">
        <f>INDEX(Customer!T$5:T$18,MATCH($C17,Customer!$A$5:$A$18,0))</f>
        <v>171043</v>
      </c>
      <c r="AZ17" s="22">
        <f>INDEX(Customer!U$5:U$18,MATCH($C17,Customer!$A$5:$A$18,0))</f>
        <v>249660</v>
      </c>
      <c r="BA17" s="22">
        <f>INDEX(Customer!V$5:V$18,MATCH($C17,Customer!$A$5:$A$18,0))</f>
        <v>202474</v>
      </c>
      <c r="BB17" s="22">
        <f>INDEX(Customer!W$5:W$18,MATCH($C17,Customer!$A$5:$A$18,0))</f>
        <v>218579</v>
      </c>
      <c r="BC17" s="22">
        <f>INDEX(Customer!X$5:X$18,MATCH($C17,Customer!$A$5:$A$18,0))</f>
        <v>227734</v>
      </c>
      <c r="BD17" s="22">
        <f>INDEX(Customer!Y$5:Y$18,MATCH($C17,Customer!$A$5:$A$18,0))</f>
        <v>231369</v>
      </c>
      <c r="BE17" s="22">
        <f>INDEX(Customer!Z$5:Z$18,MATCH($C17,Customer!$A$5:$A$18,0))</f>
        <v>230010</v>
      </c>
      <c r="BF17" s="22">
        <f>INDEX(Customer!AA$5:AA$18,MATCH($C17,Customer!$A$5:$A$18,0))</f>
        <v>255528</v>
      </c>
      <c r="BG17" s="311">
        <f>INDEX(Customer!AB$5:AB$18,MATCH($C17,Customer!$A$5:$A$18,0))</f>
        <v>256205</v>
      </c>
      <c r="BH17" s="311">
        <f>INDEX(Customer!AC$5:AC$18,MATCH($C17,Customer!$A$5:$A$18,0))</f>
        <v>224750</v>
      </c>
      <c r="BI17" s="311">
        <f>INDEX(Customer!AD$5:AD$18,MATCH($C17,Customer!$A$5:$A$18,0))</f>
        <v>259119</v>
      </c>
      <c r="BJ17" s="311">
        <f>INDEX(Customer!AE$5:AE$18,MATCH($C17,Customer!$A$5:$A$18,0))</f>
        <v>206791</v>
      </c>
      <c r="BK17" s="311">
        <f>INDEX(Customer!AF$5:AF$18,MATCH($C17,Customer!$A$5:$A$18,0))</f>
        <v>224094</v>
      </c>
      <c r="BL17" s="311">
        <f>INDEX(Customer!AG$5:AG$18,MATCH($C17,Customer!$A$5:$A$18,0))</f>
        <v>246459</v>
      </c>
      <c r="BM17" s="311">
        <f>INDEX(Customer!AH$5:AH$18,MATCH($C17,Customer!$A$5:$A$18,0))</f>
        <v>233260</v>
      </c>
      <c r="BN17" s="311">
        <f>INDEX(Customer!AI$5:AI$18,MATCH($C17,Customer!$A$5:$A$18,0))</f>
        <v>233568</v>
      </c>
      <c r="BO17" s="311">
        <f>INDEX(Customer!AJ$5:AJ$18,MATCH($C17,Customer!$A$5:$A$18,0))</f>
        <v>208611</v>
      </c>
      <c r="BP17" s="311">
        <f>INDEX(Customer!AK$5:AK$18,MATCH($C17,Customer!$A$5:$A$18,0))</f>
        <v>162565</v>
      </c>
      <c r="BQ17" s="381">
        <f>INDEX(Customer!AL$5:AL$18,MATCH($C17,Customer!$A$5:$A$18,0))</f>
        <v>223662</v>
      </c>
      <c r="BR17" s="52"/>
      <c r="BS17" s="52"/>
      <c r="BT17" s="52"/>
      <c r="BU17" s="52"/>
      <c r="BV17" s="52"/>
      <c r="BW17" s="52"/>
      <c r="BX17" s="52"/>
      <c r="BY17" s="52"/>
      <c r="BZ17" s="52"/>
      <c r="CA17" s="52"/>
      <c r="CB17" s="52"/>
      <c r="CC17" s="52"/>
      <c r="CD17" s="52"/>
      <c r="CE17" s="52"/>
      <c r="CF17" s="52"/>
      <c r="CG17" s="52"/>
      <c r="CH17" s="52"/>
      <c r="CI17" s="104"/>
      <c r="CJ17" s="269"/>
    </row>
    <row r="18" spans="1:88" x14ac:dyDescent="0.3">
      <c r="A18" s="33"/>
      <c r="B18" s="34"/>
      <c r="C18" s="29" t="s">
        <v>236</v>
      </c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8">
        <f>INDEX(Customer!B$5:B$18,MATCH($C18,Customer!$A$5:$A$18,0))</f>
        <v>0</v>
      </c>
      <c r="AH18" s="38">
        <f>INDEX(Customer!C$5:C$18,MATCH($C18,Customer!$A$5:$A$18,0))</f>
        <v>0</v>
      </c>
      <c r="AI18" s="105">
        <f>INDEX(Customer!D$5:D$18,MATCH($C18,Customer!$A$5:$A$18,0))</f>
        <v>19603</v>
      </c>
      <c r="AJ18" s="105">
        <f>INDEX(Customer!E$5:E$18,MATCH($C18,Customer!$A$5:$A$18,0))</f>
        <v>18157</v>
      </c>
      <c r="AK18" s="105">
        <f>INDEX(Customer!F$5:F$18,MATCH($C18,Customer!$A$5:$A$18,0))</f>
        <v>20260</v>
      </c>
      <c r="AL18" s="105">
        <f>INDEX(Customer!G$5:G$18,MATCH($C18,Customer!$A$5:$A$18,0))</f>
        <v>21419</v>
      </c>
      <c r="AM18" s="105">
        <f>INDEX(Customer!H$5:H$18,MATCH($C18,Customer!$A$5:$A$18,0))</f>
        <v>24495</v>
      </c>
      <c r="AN18" s="105">
        <f>INDEX(Customer!I$5:I$18,MATCH($C18,Customer!$A$5:$A$18,0))</f>
        <v>22124</v>
      </c>
      <c r="AO18" s="105">
        <f>INDEX(Customer!J$5:J$18,MATCH($C18,Customer!$A$5:$A$18,0))</f>
        <v>27699</v>
      </c>
      <c r="AP18" s="105">
        <f>INDEX(Customer!K$5:K$18,MATCH($C18,Customer!$A$5:$A$18,0))</f>
        <v>62426</v>
      </c>
      <c r="AQ18" s="105">
        <f>INDEX(Customer!L$5:L$18,MATCH($C18,Customer!$A$5:$A$18,0))</f>
        <v>54229</v>
      </c>
      <c r="AR18" s="105">
        <f>INDEX(Customer!M$5:M$18,MATCH($C18,Customer!$A$5:$A$18,0))</f>
        <v>59510</v>
      </c>
      <c r="AS18" s="105">
        <f>INDEX(Customer!N$5:N$18,MATCH($C18,Customer!$A$5:$A$18,0))</f>
        <v>67617</v>
      </c>
      <c r="AT18" s="105">
        <f>INDEX(Customer!O$5:O$18,MATCH($C18,Customer!$A$5:$A$18,0))</f>
        <v>84613</v>
      </c>
      <c r="AU18" s="105">
        <f>INDEX(Customer!P$5:P$18,MATCH($C18,Customer!$A$5:$A$18,0))</f>
        <v>82371</v>
      </c>
      <c r="AV18" s="105">
        <f>INDEX(Customer!Q$5:Q$18,MATCH($C18,Customer!$A$5:$A$18,0))</f>
        <v>81104</v>
      </c>
      <c r="AW18" s="105">
        <f>INDEX(Customer!R$5:R$18,MATCH($C18,Customer!$A$5:$A$18,0))</f>
        <v>124402</v>
      </c>
      <c r="AX18" s="105">
        <f>INDEX(Customer!S$5:S$18,MATCH($C18,Customer!$A$5:$A$18,0))</f>
        <v>105597</v>
      </c>
      <c r="AY18" s="105">
        <f>INDEX(Customer!T$5:T$18,MATCH($C18,Customer!$A$5:$A$18,0))</f>
        <v>125956</v>
      </c>
      <c r="AZ18" s="105">
        <f>INDEX(Customer!U$5:U$18,MATCH($C18,Customer!$A$5:$A$18,0))</f>
        <v>113380</v>
      </c>
      <c r="BA18" s="105">
        <f>INDEX(Customer!V$5:V$18,MATCH($C18,Customer!$A$5:$A$18,0))</f>
        <v>100756</v>
      </c>
      <c r="BB18" s="105">
        <f>INDEX(Customer!W$5:W$18,MATCH($C18,Customer!$A$5:$A$18,0))</f>
        <v>125863</v>
      </c>
      <c r="BC18" s="105">
        <f>INDEX(Customer!X$5:X$18,MATCH($C18,Customer!$A$5:$A$18,0))</f>
        <v>102828</v>
      </c>
      <c r="BD18" s="105">
        <f>INDEX(Customer!Y$5:Y$18,MATCH($C18,Customer!$A$5:$A$18,0))</f>
        <v>115964</v>
      </c>
      <c r="BE18" s="105">
        <f>INDEX(Customer!Z$5:Z$18,MATCH($C18,Customer!$A$5:$A$18,0))</f>
        <v>101742</v>
      </c>
      <c r="BF18" s="105">
        <f>INDEX(Customer!AA$5:AA$18,MATCH($C18,Customer!$A$5:$A$18,0))</f>
        <v>132019</v>
      </c>
      <c r="BG18" s="106">
        <f>INDEX(Customer!AB$5:AB$18,MATCH($C18,Customer!$A$5:$A$18,0))</f>
        <v>106810</v>
      </c>
      <c r="BH18" s="106">
        <f>INDEX(Customer!AC$5:AC$18,MATCH($C18,Customer!$A$5:$A$18,0))</f>
        <v>95480</v>
      </c>
      <c r="BI18" s="106">
        <f>INDEX(Customer!AD$5:AD$18,MATCH($C18,Customer!$A$5:$A$18,0))</f>
        <v>114378</v>
      </c>
      <c r="BJ18" s="106">
        <f>INDEX(Customer!AE$5:AE$18,MATCH($C18,Customer!$A$5:$A$18,0))</f>
        <v>111597</v>
      </c>
      <c r="BK18" s="106">
        <f>INDEX(Customer!AF$5:AF$18,MATCH($C18,Customer!$A$5:$A$18,0))</f>
        <v>91872</v>
      </c>
      <c r="BL18" s="106">
        <f>INDEX(Customer!AG$5:AG$18,MATCH($C18,Customer!$A$5:$A$18,0))</f>
        <v>108567</v>
      </c>
      <c r="BM18" s="106">
        <f>INDEX(Customer!AH$5:AH$18,MATCH($C18,Customer!$A$5:$A$18,0))</f>
        <v>121162</v>
      </c>
      <c r="BN18" s="106">
        <f>INDEX(Customer!AI$5:AI$18,MATCH($C18,Customer!$A$5:$A$18,0))</f>
        <v>121456</v>
      </c>
      <c r="BO18" s="106">
        <f>INDEX(Customer!AJ$5:AJ$18,MATCH($C18,Customer!$A$5:$A$18,0))</f>
        <v>66833</v>
      </c>
      <c r="BP18" s="106">
        <f>INDEX(Customer!AK$5:AK$18,MATCH($C18,Customer!$A$5:$A$18,0))</f>
        <v>227284</v>
      </c>
      <c r="BQ18" s="382">
        <f>INDEX(Customer!AL$5:AL$18,MATCH($C18,Customer!$A$5:$A$18,0))</f>
        <v>182997</v>
      </c>
      <c r="BR18" s="46">
        <f t="shared" ref="BQ18:CI18" si="7">BR21*BR8</f>
        <v>149396.965696</v>
      </c>
      <c r="BS18" s="46">
        <f t="shared" si="7"/>
        <v>151494.55619456002</v>
      </c>
      <c r="BT18" s="46">
        <f t="shared" si="7"/>
        <v>155091.24761167364</v>
      </c>
      <c r="BU18" s="46">
        <f t="shared" si="7"/>
        <v>160002.33690472605</v>
      </c>
      <c r="BV18" s="46">
        <f t="shared" si="7"/>
        <v>166086.96866809123</v>
      </c>
      <c r="BW18" s="46">
        <f t="shared" si="7"/>
        <v>173239.78002744197</v>
      </c>
      <c r="BX18" s="46">
        <f t="shared" si="7"/>
        <v>179567.58219131711</v>
      </c>
      <c r="BY18" s="46">
        <f t="shared" si="7"/>
        <v>185244.46029495768</v>
      </c>
      <c r="BZ18" s="46">
        <f t="shared" si="7"/>
        <v>190409.81869599869</v>
      </c>
      <c r="CA18" s="46">
        <f t="shared" si="7"/>
        <v>195175.31917373199</v>
      </c>
      <c r="CB18" s="46">
        <f t="shared" si="7"/>
        <v>199630.43151917262</v>
      </c>
      <c r="CC18" s="46">
        <f t="shared" si="7"/>
        <v>203846.87403822789</v>
      </c>
      <c r="CD18" s="46">
        <f t="shared" si="7"/>
        <v>207882.16598581549</v>
      </c>
      <c r="CE18" s="46">
        <f t="shared" si="7"/>
        <v>211782.46954521403</v>
      </c>
      <c r="CF18" s="46">
        <f t="shared" si="7"/>
        <v>215584.8634440813</v>
      </c>
      <c r="CG18" s="46">
        <f t="shared" si="7"/>
        <v>219319.16188029374</v>
      </c>
      <c r="CH18" s="46">
        <f t="shared" si="7"/>
        <v>223009.36969613915</v>
      </c>
      <c r="CI18" s="103">
        <f t="shared" si="7"/>
        <v>226674.84655169403</v>
      </c>
      <c r="CJ18" s="135"/>
    </row>
    <row r="19" spans="1:88" x14ac:dyDescent="0.3">
      <c r="A19" s="33"/>
      <c r="B19" s="34"/>
      <c r="C19" s="69" t="s">
        <v>229</v>
      </c>
      <c r="D19" s="70"/>
      <c r="E19" s="70"/>
      <c r="F19" s="70"/>
      <c r="G19" s="70"/>
      <c r="H19" s="70"/>
      <c r="I19" s="70"/>
      <c r="J19" s="70"/>
      <c r="K19" s="70"/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70"/>
      <c r="X19" s="70"/>
      <c r="Y19" s="70"/>
      <c r="Z19" s="70"/>
      <c r="AA19" s="70"/>
      <c r="AB19" s="70"/>
      <c r="AC19" s="70"/>
      <c r="AD19" s="70"/>
      <c r="AE19" s="70"/>
      <c r="AF19" s="70"/>
      <c r="AG19" s="110"/>
      <c r="AH19" s="110"/>
      <c r="AI19" s="110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1"/>
      <c r="BI19" s="71"/>
      <c r="BJ19" s="71"/>
      <c r="BK19" s="71"/>
      <c r="BL19" s="71"/>
      <c r="BM19" s="71"/>
      <c r="BN19" s="71"/>
      <c r="BO19" s="71"/>
      <c r="BP19" s="71"/>
      <c r="BQ19" s="385"/>
      <c r="BR19" s="72"/>
      <c r="BS19" s="72"/>
      <c r="BT19" s="72"/>
      <c r="BU19" s="72"/>
      <c r="BV19" s="72"/>
      <c r="BW19" s="72"/>
      <c r="BX19" s="72"/>
      <c r="BY19" s="72"/>
      <c r="BZ19" s="72"/>
      <c r="CA19" s="72"/>
      <c r="CB19" s="72"/>
      <c r="CC19" s="72"/>
      <c r="CD19" s="72"/>
      <c r="CE19" s="72"/>
      <c r="CF19" s="72"/>
      <c r="CG19" s="72"/>
      <c r="CH19" s="72"/>
      <c r="CI19" s="101"/>
      <c r="CJ19" s="134"/>
    </row>
    <row r="20" spans="1:88" x14ac:dyDescent="0.3">
      <c r="A20" s="320" t="s">
        <v>239</v>
      </c>
      <c r="B20" s="322">
        <f>Dashboard!C7</f>
        <v>1.1000000000000001</v>
      </c>
      <c r="C20" s="29" t="s">
        <v>230</v>
      </c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111">
        <f>AG15/AG8</f>
        <v>1.2217685487634158</v>
      </c>
      <c r="AH20" s="111">
        <f t="shared" ref="AH20:AI20" si="8">AH15/AH8</f>
        <v>1.1540014879370815</v>
      </c>
      <c r="AI20" s="111">
        <f t="shared" si="8"/>
        <v>1.2842604485722755</v>
      </c>
      <c r="AJ20" s="111">
        <f t="shared" ref="AJ20:BG20" si="9">AJ15/AJ8</f>
        <v>1.1279015568192412</v>
      </c>
      <c r="AK20" s="111">
        <f t="shared" si="9"/>
        <v>1.2685568952524491</v>
      </c>
      <c r="AL20" s="111">
        <f t="shared" si="9"/>
        <v>1.2440376051459674</v>
      </c>
      <c r="AM20" s="111">
        <f t="shared" si="9"/>
        <v>1.1817903126916003</v>
      </c>
      <c r="AN20" s="111">
        <f t="shared" si="9"/>
        <v>1.1067758230273472</v>
      </c>
      <c r="AO20" s="111">
        <f t="shared" si="9"/>
        <v>0.78392420537897312</v>
      </c>
      <c r="AP20" s="111">
        <f t="shared" si="9"/>
        <v>1.285553983509782</v>
      </c>
      <c r="AQ20" s="111">
        <f t="shared" si="9"/>
        <v>1.3220908852114526</v>
      </c>
      <c r="AR20" s="111">
        <f t="shared" si="9"/>
        <v>1.1092786269777419</v>
      </c>
      <c r="AS20" s="111">
        <f t="shared" si="9"/>
        <v>1.1122883752498021</v>
      </c>
      <c r="AT20" s="111">
        <f t="shared" si="9"/>
        <v>1.039939024390244</v>
      </c>
      <c r="AU20" s="111">
        <f t="shared" si="9"/>
        <v>1.0730595161125669</v>
      </c>
      <c r="AV20" s="111">
        <f t="shared" si="9"/>
        <v>0.86352657004830913</v>
      </c>
      <c r="AW20" s="111">
        <f t="shared" si="9"/>
        <v>0.94791016843418585</v>
      </c>
      <c r="AX20" s="111">
        <f t="shared" si="9"/>
        <v>0.89087480356207438</v>
      </c>
      <c r="AY20" s="111">
        <f t="shared" si="9"/>
        <v>1.0222375493507112</v>
      </c>
      <c r="AZ20" s="111">
        <f t="shared" si="9"/>
        <v>1.2042564174761838</v>
      </c>
      <c r="BA20" s="111">
        <f t="shared" si="9"/>
        <v>1.0152819129140305</v>
      </c>
      <c r="BB20" s="111">
        <f t="shared" si="9"/>
        <v>1.088381788261108</v>
      </c>
      <c r="BC20" s="111">
        <f t="shared" si="9"/>
        <v>1.0224962145792775</v>
      </c>
      <c r="BD20" s="111">
        <f t="shared" si="9"/>
        <v>1.1052501349649091</v>
      </c>
      <c r="BE20" s="111">
        <f t="shared" si="9"/>
        <v>1.0438536355456531</v>
      </c>
      <c r="BF20" s="111">
        <f t="shared" si="9"/>
        <v>1.1823762076642099</v>
      </c>
      <c r="BG20" s="111">
        <f t="shared" si="9"/>
        <v>1.1343147094903536</v>
      </c>
      <c r="BH20" s="111">
        <f t="shared" ref="BH20" si="10">BH15/BH8</f>
        <v>0.9717049783827747</v>
      </c>
      <c r="BI20" s="111">
        <f t="shared" ref="BI20:BK20" si="11">BI15/BI8</f>
        <v>1.2414290443088853</v>
      </c>
      <c r="BJ20" s="111">
        <f t="shared" si="11"/>
        <v>1.0632938541095727</v>
      </c>
      <c r="BK20" s="111">
        <f t="shared" si="11"/>
        <v>1.0751328294544638</v>
      </c>
      <c r="BL20" s="111">
        <f t="shared" ref="BL20:BN20" si="12">BL15/BL8</f>
        <v>1.1451897207533166</v>
      </c>
      <c r="BM20" s="111">
        <f t="shared" si="12"/>
        <v>0.9753518910868243</v>
      </c>
      <c r="BN20" s="111">
        <f t="shared" si="12"/>
        <v>0.96221679106942337</v>
      </c>
      <c r="BO20" s="111">
        <f t="shared" ref="BO20:BP20" si="13">BO15/BO8</f>
        <v>0.73355583060737339</v>
      </c>
      <c r="BP20" s="111">
        <f t="shared" si="13"/>
        <v>0.91348535625819616</v>
      </c>
      <c r="BQ20" s="386">
        <f t="shared" ref="BQ20" si="14">BQ15/BQ8</f>
        <v>0.88489474125639522</v>
      </c>
      <c r="BR20" s="48">
        <f t="shared" ref="BQ20:CI20" si="15">$B$20</f>
        <v>1.1000000000000001</v>
      </c>
      <c r="BS20" s="48">
        <f t="shared" si="15"/>
        <v>1.1000000000000001</v>
      </c>
      <c r="BT20" s="48">
        <f t="shared" si="15"/>
        <v>1.1000000000000001</v>
      </c>
      <c r="BU20" s="48">
        <f t="shared" si="15"/>
        <v>1.1000000000000001</v>
      </c>
      <c r="BV20" s="48">
        <f t="shared" si="15"/>
        <v>1.1000000000000001</v>
      </c>
      <c r="BW20" s="48">
        <f t="shared" si="15"/>
        <v>1.1000000000000001</v>
      </c>
      <c r="BX20" s="48">
        <f t="shared" si="15"/>
        <v>1.1000000000000001</v>
      </c>
      <c r="BY20" s="48">
        <f t="shared" si="15"/>
        <v>1.1000000000000001</v>
      </c>
      <c r="BZ20" s="48">
        <f t="shared" si="15"/>
        <v>1.1000000000000001</v>
      </c>
      <c r="CA20" s="48">
        <f t="shared" si="15"/>
        <v>1.1000000000000001</v>
      </c>
      <c r="CB20" s="48">
        <f t="shared" si="15"/>
        <v>1.1000000000000001</v>
      </c>
      <c r="CC20" s="48">
        <f t="shared" si="15"/>
        <v>1.1000000000000001</v>
      </c>
      <c r="CD20" s="48">
        <f t="shared" si="15"/>
        <v>1.1000000000000001</v>
      </c>
      <c r="CE20" s="48">
        <f t="shared" si="15"/>
        <v>1.1000000000000001</v>
      </c>
      <c r="CF20" s="48">
        <f t="shared" si="15"/>
        <v>1.1000000000000001</v>
      </c>
      <c r="CG20" s="48">
        <f t="shared" si="15"/>
        <v>1.1000000000000001</v>
      </c>
      <c r="CH20" s="48">
        <f t="shared" si="15"/>
        <v>1.1000000000000001</v>
      </c>
      <c r="CI20" s="112">
        <f t="shared" si="15"/>
        <v>1.1000000000000001</v>
      </c>
      <c r="CJ20" s="136"/>
    </row>
    <row r="21" spans="1:88" x14ac:dyDescent="0.3">
      <c r="A21" s="33" t="s">
        <v>240</v>
      </c>
      <c r="B21" s="39">
        <v>2.5</v>
      </c>
      <c r="C21" s="29" t="s">
        <v>235</v>
      </c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8"/>
      <c r="AH21" s="38"/>
      <c r="AI21" s="111">
        <f>AI18/AI8</f>
        <v>1.9368639462503705</v>
      </c>
      <c r="AJ21" s="111">
        <f>AJ18/AJ8</f>
        <v>1.692644728255803</v>
      </c>
      <c r="AK21" s="111">
        <f t="shared" ref="AK21:BG21" si="16">AK18/AK8</f>
        <v>1.9084400904295402</v>
      </c>
      <c r="AL21" s="111">
        <f t="shared" si="16"/>
        <v>2.1196437407224145</v>
      </c>
      <c r="AM21" s="111">
        <f t="shared" si="16"/>
        <v>2.5030656039239729</v>
      </c>
      <c r="AN21" s="111">
        <f t="shared" si="16"/>
        <v>1.9268420135864832</v>
      </c>
      <c r="AO21" s="111">
        <f t="shared" si="16"/>
        <v>1.6930929095354523</v>
      </c>
      <c r="AP21" s="111">
        <f t="shared" si="16"/>
        <v>3.0456164316729279</v>
      </c>
      <c r="AQ21" s="111">
        <f t="shared" si="16"/>
        <v>2.848909902810612</v>
      </c>
      <c r="AR21" s="111">
        <f t="shared" si="16"/>
        <v>2.6597836774827925</v>
      </c>
      <c r="AS21" s="111">
        <f t="shared" si="16"/>
        <v>2.5495644960597263</v>
      </c>
      <c r="AT21" s="111">
        <f t="shared" si="16"/>
        <v>2.8662940379403796</v>
      </c>
      <c r="AU21" s="111">
        <f t="shared" si="16"/>
        <v>2.8029741041957328</v>
      </c>
      <c r="AV21" s="111">
        <f t="shared" si="16"/>
        <v>2.0406602254428341</v>
      </c>
      <c r="AW21" s="111">
        <f t="shared" si="16"/>
        <v>2.5868579746309006</v>
      </c>
      <c r="AX21" s="111">
        <f t="shared" si="16"/>
        <v>2.2126139339968569</v>
      </c>
      <c r="AY21" s="111">
        <f t="shared" si="16"/>
        <v>2.9956714075060646</v>
      </c>
      <c r="AZ21" s="111">
        <f t="shared" si="16"/>
        <v>2.6603782439344879</v>
      </c>
      <c r="BA21" s="111">
        <f t="shared" si="16"/>
        <v>2.3435988090807593</v>
      </c>
      <c r="BB21" s="111">
        <f t="shared" si="16"/>
        <v>2.7616675809105868</v>
      </c>
      <c r="BC21" s="111">
        <f t="shared" si="16"/>
        <v>2.2242699545749511</v>
      </c>
      <c r="BD21" s="111">
        <f t="shared" si="16"/>
        <v>2.6085117869353969</v>
      </c>
      <c r="BE21" s="111">
        <f t="shared" si="16"/>
        <v>2.1796563691674877</v>
      </c>
      <c r="BF21" s="111">
        <f t="shared" si="16"/>
        <v>2.8534160416711694</v>
      </c>
      <c r="BG21" s="111">
        <f t="shared" si="16"/>
        <v>2.3822906211664994</v>
      </c>
      <c r="BH21" s="111">
        <f t="shared" ref="BH21" si="17">BH18/BH8</f>
        <v>2.0435769016737297</v>
      </c>
      <c r="BI21" s="111">
        <f t="shared" ref="BI21:BK21" si="18">BI18/BI8</f>
        <v>2.7043552276918712</v>
      </c>
      <c r="BJ21" s="111">
        <f t="shared" si="18"/>
        <v>2.6594142458832781</v>
      </c>
      <c r="BK21" s="111">
        <f t="shared" si="18"/>
        <v>2.2917009653520917</v>
      </c>
      <c r="BL21" s="111">
        <f t="shared" ref="BL21:BN21" si="19">BL18/BL8</f>
        <v>2.5180211522404674</v>
      </c>
      <c r="BM21" s="111">
        <f t="shared" si="19"/>
        <v>2.5416290826708061</v>
      </c>
      <c r="BN21" s="111">
        <f t="shared" si="19"/>
        <v>2.6742409230024</v>
      </c>
      <c r="BO21" s="111">
        <f t="shared" ref="BO21:BP21" si="20">BO18/BO8</f>
        <v>1.4771682433029794</v>
      </c>
      <c r="BP21" s="111">
        <f t="shared" si="20"/>
        <v>4.1396619554130849</v>
      </c>
      <c r="BQ21" s="386">
        <f t="shared" ref="BQ21" si="21">BQ18/BQ8</f>
        <v>3.0696469009477481</v>
      </c>
      <c r="BR21" s="48">
        <f t="shared" ref="BQ21:CI21" si="22">$B$21</f>
        <v>2.5</v>
      </c>
      <c r="BS21" s="48">
        <f t="shared" si="22"/>
        <v>2.5</v>
      </c>
      <c r="BT21" s="48">
        <f t="shared" si="22"/>
        <v>2.5</v>
      </c>
      <c r="BU21" s="48">
        <f t="shared" si="22"/>
        <v>2.5</v>
      </c>
      <c r="BV21" s="48">
        <f t="shared" si="22"/>
        <v>2.5</v>
      </c>
      <c r="BW21" s="48">
        <f t="shared" si="22"/>
        <v>2.5</v>
      </c>
      <c r="BX21" s="48">
        <f t="shared" si="22"/>
        <v>2.5</v>
      </c>
      <c r="BY21" s="48">
        <f t="shared" si="22"/>
        <v>2.5</v>
      </c>
      <c r="BZ21" s="48">
        <f t="shared" si="22"/>
        <v>2.5</v>
      </c>
      <c r="CA21" s="48">
        <f t="shared" si="22"/>
        <v>2.5</v>
      </c>
      <c r="CB21" s="48">
        <f t="shared" si="22"/>
        <v>2.5</v>
      </c>
      <c r="CC21" s="48">
        <f t="shared" si="22"/>
        <v>2.5</v>
      </c>
      <c r="CD21" s="48">
        <f t="shared" si="22"/>
        <v>2.5</v>
      </c>
      <c r="CE21" s="48">
        <f t="shared" si="22"/>
        <v>2.5</v>
      </c>
      <c r="CF21" s="48">
        <f t="shared" si="22"/>
        <v>2.5</v>
      </c>
      <c r="CG21" s="48">
        <f t="shared" si="22"/>
        <v>2.5</v>
      </c>
      <c r="CH21" s="48">
        <f t="shared" si="22"/>
        <v>2.5</v>
      </c>
      <c r="CI21" s="112">
        <f t="shared" si="22"/>
        <v>2.5</v>
      </c>
      <c r="CJ21" s="136"/>
    </row>
    <row r="22" spans="1:88" ht="17.399999999999999" x14ac:dyDescent="0.3">
      <c r="A22" s="33" t="s">
        <v>242</v>
      </c>
      <c r="B22" s="39">
        <v>300000</v>
      </c>
      <c r="C22" s="29" t="s">
        <v>231</v>
      </c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8"/>
      <c r="AH22" s="38"/>
      <c r="AI22" s="113">
        <f>AI112</f>
        <v>83305.53</v>
      </c>
      <c r="AJ22" s="113">
        <f>AJ112</f>
        <v>84358.060000000027</v>
      </c>
      <c r="AK22" s="113">
        <f t="shared" ref="AK22:BG22" si="23">AK112</f>
        <v>85427.499999999985</v>
      </c>
      <c r="AL22" s="113">
        <f t="shared" si="23"/>
        <v>90380.38</v>
      </c>
      <c r="AM22" s="113">
        <f t="shared" si="23"/>
        <v>88824.65</v>
      </c>
      <c r="AN22" s="113">
        <f t="shared" si="23"/>
        <v>131360.99</v>
      </c>
      <c r="AO22" s="113">
        <f t="shared" si="23"/>
        <v>193337.21000000002</v>
      </c>
      <c r="AP22" s="113">
        <f t="shared" si="23"/>
        <v>236002.04</v>
      </c>
      <c r="AQ22" s="113">
        <f t="shared" si="23"/>
        <v>152030.50999999998</v>
      </c>
      <c r="AR22" s="113">
        <f t="shared" si="23"/>
        <v>227964.54</v>
      </c>
      <c r="AS22" s="113">
        <f t="shared" si="23"/>
        <v>301531.64</v>
      </c>
      <c r="AT22" s="113">
        <f t="shared" si="23"/>
        <v>346923.72000000003</v>
      </c>
      <c r="AU22" s="113">
        <f t="shared" si="23"/>
        <v>314207.77999999991</v>
      </c>
      <c r="AV22" s="113">
        <f t="shared" si="23"/>
        <v>520629.44999999995</v>
      </c>
      <c r="AW22" s="113">
        <f t="shared" si="23"/>
        <v>609892.66999999993</v>
      </c>
      <c r="AX22" s="113">
        <f t="shared" si="23"/>
        <v>313695.14999999991</v>
      </c>
      <c r="AY22" s="113">
        <f t="shared" si="23"/>
        <v>182714.64</v>
      </c>
      <c r="AZ22" s="113">
        <f t="shared" si="23"/>
        <v>242681.01</v>
      </c>
      <c r="BA22" s="113">
        <f t="shared" si="23"/>
        <v>254054.72000000003</v>
      </c>
      <c r="BB22" s="113">
        <f t="shared" si="23"/>
        <v>314236.38</v>
      </c>
      <c r="BC22" s="113">
        <f t="shared" si="23"/>
        <v>321128.50000000006</v>
      </c>
      <c r="BD22" s="113">
        <f t="shared" si="23"/>
        <v>246621.4</v>
      </c>
      <c r="BE22" s="113">
        <f t="shared" si="23"/>
        <v>346324.92000000004</v>
      </c>
      <c r="BF22" s="113">
        <f t="shared" si="23"/>
        <v>367710.83</v>
      </c>
      <c r="BG22" s="113">
        <f t="shared" si="23"/>
        <v>334591.38</v>
      </c>
      <c r="BH22" s="113">
        <f t="shared" ref="BH22" si="24">BH112</f>
        <v>403004.08</v>
      </c>
      <c r="BI22" s="113">
        <f t="shared" ref="BI22:BK22" si="25">BI112</f>
        <v>291636.95</v>
      </c>
      <c r="BJ22" s="113">
        <f t="shared" si="25"/>
        <v>318231.06</v>
      </c>
      <c r="BK22" s="113">
        <f t="shared" si="25"/>
        <v>313837.51999999996</v>
      </c>
      <c r="BL22" s="113">
        <f t="shared" ref="BL22:BN22" si="26">BL112</f>
        <v>358869.06999999995</v>
      </c>
      <c r="BM22" s="113">
        <f t="shared" si="26"/>
        <v>332911.80999999994</v>
      </c>
      <c r="BN22" s="113">
        <f t="shared" si="26"/>
        <v>257653.53</v>
      </c>
      <c r="BO22" s="113">
        <f t="shared" ref="BO22:BP22" si="27">BO112</f>
        <v>137489.61000000002</v>
      </c>
      <c r="BP22" s="113">
        <f t="shared" si="27"/>
        <v>357903.13</v>
      </c>
      <c r="BQ22" s="387">
        <f t="shared" ref="BQ22" si="28">BQ112</f>
        <v>355742.52</v>
      </c>
      <c r="BR22" s="49">
        <f t="shared" ref="BQ22:CI22" si="29">BQ$22*(1+BR$23)</f>
        <v>377087.07120000006</v>
      </c>
      <c r="BS22" s="49">
        <f t="shared" si="29"/>
        <v>399712.29547200009</v>
      </c>
      <c r="BT22" s="49">
        <f t="shared" si="29"/>
        <v>423695.03320032009</v>
      </c>
      <c r="BU22" s="49">
        <f t="shared" si="29"/>
        <v>449116.73519233934</v>
      </c>
      <c r="BV22" s="49">
        <f t="shared" si="29"/>
        <v>476063.73930387973</v>
      </c>
      <c r="BW22" s="49">
        <f t="shared" si="29"/>
        <v>504627.56366211252</v>
      </c>
      <c r="BX22" s="49">
        <f t="shared" si="29"/>
        <v>512196.97711704415</v>
      </c>
      <c r="BY22" s="49">
        <f t="shared" si="29"/>
        <v>519879.93177379976</v>
      </c>
      <c r="BZ22" s="49">
        <f t="shared" si="29"/>
        <v>527678.13075040677</v>
      </c>
      <c r="CA22" s="49">
        <f t="shared" si="29"/>
        <v>535593.30271166284</v>
      </c>
      <c r="CB22" s="49">
        <f t="shared" si="29"/>
        <v>543627.20225233771</v>
      </c>
      <c r="CC22" s="49">
        <f t="shared" si="29"/>
        <v>551781.61028612277</v>
      </c>
      <c r="CD22" s="49">
        <f t="shared" si="29"/>
        <v>560058.33444041456</v>
      </c>
      <c r="CE22" s="49">
        <f t="shared" si="29"/>
        <v>568459.20945702074</v>
      </c>
      <c r="CF22" s="49">
        <f t="shared" si="29"/>
        <v>576986.09759887599</v>
      </c>
      <c r="CG22" s="49">
        <f t="shared" si="29"/>
        <v>585640.88906285912</v>
      </c>
      <c r="CH22" s="49">
        <f t="shared" si="29"/>
        <v>594425.50239880197</v>
      </c>
      <c r="CI22" s="114">
        <f t="shared" si="29"/>
        <v>603341.88493478391</v>
      </c>
      <c r="CJ22" s="136"/>
    </row>
    <row r="23" spans="1:88" x14ac:dyDescent="0.3">
      <c r="A23" s="320" t="s">
        <v>466</v>
      </c>
      <c r="B23" s="326">
        <f>Dashboard!C8</f>
        <v>0.06</v>
      </c>
      <c r="C23" s="29" t="s">
        <v>232</v>
      </c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8"/>
      <c r="AH23" s="38"/>
      <c r="AI23" s="38"/>
      <c r="AJ23" s="115">
        <f>(AJ22-AI22)/AI22</f>
        <v>1.2634575399736704E-2</v>
      </c>
      <c r="AK23" s="115">
        <f t="shared" ref="AK23:BH23" si="30">(AK22-AJ22)/AJ22</f>
        <v>1.2677389688667074E-2</v>
      </c>
      <c r="AL23" s="115">
        <f t="shared" si="30"/>
        <v>5.7977583330894852E-2</v>
      </c>
      <c r="AM23" s="115">
        <f t="shared" si="30"/>
        <v>-1.7213138515239815E-2</v>
      </c>
      <c r="AN23" s="115">
        <f t="shared" si="30"/>
        <v>0.47887990552172172</v>
      </c>
      <c r="AO23" s="115">
        <f t="shared" si="30"/>
        <v>0.47180079869982738</v>
      </c>
      <c r="AP23" s="115">
        <f t="shared" si="30"/>
        <v>0.22067573024354692</v>
      </c>
      <c r="AQ23" s="115">
        <f t="shared" si="30"/>
        <v>-0.35580849216388138</v>
      </c>
      <c r="AR23" s="115">
        <f t="shared" si="30"/>
        <v>0.49946573224019336</v>
      </c>
      <c r="AS23" s="115">
        <f t="shared" si="30"/>
        <v>0.32271290964814092</v>
      </c>
      <c r="AT23" s="115">
        <f t="shared" si="30"/>
        <v>0.15053836473014909</v>
      </c>
      <c r="AU23" s="115">
        <f t="shared" si="30"/>
        <v>-9.4302978187827902E-2</v>
      </c>
      <c r="AV23" s="115">
        <f t="shared" si="30"/>
        <v>0.6569591306746132</v>
      </c>
      <c r="AW23" s="115">
        <f t="shared" si="30"/>
        <v>0.1714524985092564</v>
      </c>
      <c r="AX23" s="115">
        <f t="shared" si="30"/>
        <v>-0.48565515634086903</v>
      </c>
      <c r="AY23" s="115">
        <f t="shared" si="30"/>
        <v>-0.41754075573052352</v>
      </c>
      <c r="AZ23" s="115">
        <f t="shared" si="30"/>
        <v>0.32819685384816449</v>
      </c>
      <c r="BA23" s="115">
        <f t="shared" si="30"/>
        <v>4.6866913896559191E-2</v>
      </c>
      <c r="BB23" s="115">
        <f t="shared" si="30"/>
        <v>0.23688463650665481</v>
      </c>
      <c r="BC23" s="115">
        <f t="shared" si="30"/>
        <v>2.1932915596851177E-2</v>
      </c>
      <c r="BD23" s="115">
        <f t="shared" si="30"/>
        <v>-0.23201646692834815</v>
      </c>
      <c r="BE23" s="115">
        <f t="shared" si="30"/>
        <v>0.40427764987142256</v>
      </c>
      <c r="BF23" s="115">
        <f t="shared" si="30"/>
        <v>6.1750999610423567E-2</v>
      </c>
      <c r="BG23" s="115">
        <f t="shared" si="30"/>
        <v>-9.0069280798718954E-2</v>
      </c>
      <c r="BH23" s="115">
        <f t="shared" si="30"/>
        <v>0.20446641512402386</v>
      </c>
      <c r="BI23" s="115">
        <f t="shared" ref="BI23" si="31">(BI22-BH22)/BH22</f>
        <v>-0.2763424380219674</v>
      </c>
      <c r="BJ23" s="115">
        <f t="shared" ref="BJ23" si="32">(BJ22-BI22)/BI22</f>
        <v>9.1189096580525833E-2</v>
      </c>
      <c r="BK23" s="115">
        <f t="shared" ref="BK23" si="33">(BK22-BJ22)/BJ22</f>
        <v>-1.3806131934450513E-2</v>
      </c>
      <c r="BL23" s="115">
        <f t="shared" ref="BL23" si="34">(BL22-BK22)/BK22</f>
        <v>0.14348682719644226</v>
      </c>
      <c r="BM23" s="115">
        <f t="shared" ref="BM23" si="35">(BM22-BL22)/BL22</f>
        <v>-7.2330724963285395E-2</v>
      </c>
      <c r="BN23" s="115">
        <f t="shared" ref="BN23" si="36">(BN22-BM22)/BM22</f>
        <v>-0.22606070959152802</v>
      </c>
      <c r="BO23" s="115">
        <f t="shared" ref="BO23" si="37">(BO22-BN22)/BN22</f>
        <v>-0.46637793008308476</v>
      </c>
      <c r="BP23" s="115">
        <f t="shared" ref="BP23:BQ23" si="38">(BP22-BO22)/BO22</f>
        <v>1.6031285564050983</v>
      </c>
      <c r="BQ23" s="388">
        <f t="shared" si="38"/>
        <v>-6.0368569562383708E-3</v>
      </c>
      <c r="BR23" s="50">
        <f t="shared" ref="BQ23:BW23" si="39">$B$23</f>
        <v>0.06</v>
      </c>
      <c r="BS23" s="50">
        <f t="shared" si="39"/>
        <v>0.06</v>
      </c>
      <c r="BT23" s="50">
        <f t="shared" si="39"/>
        <v>0.06</v>
      </c>
      <c r="BU23" s="50">
        <f t="shared" si="39"/>
        <v>0.06</v>
      </c>
      <c r="BV23" s="50">
        <f t="shared" si="39"/>
        <v>0.06</v>
      </c>
      <c r="BW23" s="50">
        <f t="shared" si="39"/>
        <v>0.06</v>
      </c>
      <c r="BX23" s="50">
        <f>$B$24</f>
        <v>1.4999999999999999E-2</v>
      </c>
      <c r="BY23" s="50">
        <f t="shared" ref="BY23:CI23" si="40">$B$24</f>
        <v>1.4999999999999999E-2</v>
      </c>
      <c r="BZ23" s="50">
        <f t="shared" si="40"/>
        <v>1.4999999999999999E-2</v>
      </c>
      <c r="CA23" s="50">
        <f t="shared" si="40"/>
        <v>1.4999999999999999E-2</v>
      </c>
      <c r="CB23" s="50">
        <f t="shared" si="40"/>
        <v>1.4999999999999999E-2</v>
      </c>
      <c r="CC23" s="50">
        <f t="shared" si="40"/>
        <v>1.4999999999999999E-2</v>
      </c>
      <c r="CD23" s="50">
        <f t="shared" si="40"/>
        <v>1.4999999999999999E-2</v>
      </c>
      <c r="CE23" s="50">
        <f t="shared" si="40"/>
        <v>1.4999999999999999E-2</v>
      </c>
      <c r="CF23" s="50">
        <f t="shared" si="40"/>
        <v>1.4999999999999999E-2</v>
      </c>
      <c r="CG23" s="50">
        <f t="shared" si="40"/>
        <v>1.4999999999999999E-2</v>
      </c>
      <c r="CH23" s="50">
        <f t="shared" si="40"/>
        <v>1.4999999999999999E-2</v>
      </c>
      <c r="CI23" s="116">
        <f t="shared" si="40"/>
        <v>1.4999999999999999E-2</v>
      </c>
      <c r="CJ23" s="136"/>
    </row>
    <row r="24" spans="1:88" x14ac:dyDescent="0.3">
      <c r="A24" s="320" t="s">
        <v>467</v>
      </c>
      <c r="B24" s="326">
        <f>Dashboard!C9</f>
        <v>1.4999999999999999E-2</v>
      </c>
      <c r="C24" s="69" t="s">
        <v>212</v>
      </c>
      <c r="D24" s="70"/>
      <c r="E24" s="70"/>
      <c r="F24" s="70"/>
      <c r="G24" s="70"/>
      <c r="H24" s="70"/>
      <c r="I24" s="70"/>
      <c r="J24" s="70"/>
      <c r="K24" s="70"/>
      <c r="L24" s="70"/>
      <c r="M24" s="70"/>
      <c r="N24" s="70"/>
      <c r="O24" s="70"/>
      <c r="P24" s="70"/>
      <c r="Q24" s="70"/>
      <c r="R24" s="70"/>
      <c r="S24" s="70"/>
      <c r="T24" s="70"/>
      <c r="U24" s="70"/>
      <c r="V24" s="70"/>
      <c r="W24" s="70"/>
      <c r="X24" s="70"/>
      <c r="Y24" s="70"/>
      <c r="Z24" s="70"/>
      <c r="AA24" s="70"/>
      <c r="AB24" s="70"/>
      <c r="AC24" s="70"/>
      <c r="AD24" s="70"/>
      <c r="AE24" s="70"/>
      <c r="AF24" s="70"/>
      <c r="AG24" s="110"/>
      <c r="AH24" s="110"/>
      <c r="AI24" s="110"/>
      <c r="AJ24" s="110"/>
      <c r="AK24" s="110"/>
      <c r="AL24" s="110"/>
      <c r="AM24" s="110"/>
      <c r="AN24" s="110"/>
      <c r="AO24" s="110"/>
      <c r="AP24" s="110"/>
      <c r="AQ24" s="110"/>
      <c r="AR24" s="110"/>
      <c r="AS24" s="110"/>
      <c r="AT24" s="110"/>
      <c r="AU24" s="110"/>
      <c r="AV24" s="110"/>
      <c r="AW24" s="110"/>
      <c r="AX24" s="110"/>
      <c r="AY24" s="110"/>
      <c r="AZ24" s="110"/>
      <c r="BA24" s="110"/>
      <c r="BB24" s="110"/>
      <c r="BC24" s="110"/>
      <c r="BD24" s="110"/>
      <c r="BE24" s="110"/>
      <c r="BF24" s="110"/>
      <c r="BG24" s="110"/>
      <c r="BH24" s="74"/>
      <c r="BI24" s="74"/>
      <c r="BJ24" s="74"/>
      <c r="BK24" s="74"/>
      <c r="BL24" s="74"/>
      <c r="BM24" s="74"/>
      <c r="BN24" s="74"/>
      <c r="BO24" s="74"/>
      <c r="BP24" s="74"/>
      <c r="BQ24" s="389"/>
      <c r="BR24" s="75"/>
      <c r="BS24" s="75"/>
      <c r="BT24" s="75"/>
      <c r="BU24" s="75"/>
      <c r="BV24" s="75"/>
      <c r="BW24" s="75"/>
      <c r="BX24" s="75"/>
      <c r="BY24" s="75"/>
      <c r="BZ24" s="75"/>
      <c r="CA24" s="75"/>
      <c r="CB24" s="75"/>
      <c r="CC24" s="75"/>
      <c r="CD24" s="75"/>
      <c r="CE24" s="75"/>
      <c r="CF24" s="75"/>
      <c r="CG24" s="75"/>
      <c r="CH24" s="75"/>
      <c r="CI24" s="117"/>
      <c r="CJ24" s="136"/>
    </row>
    <row r="25" spans="1:88" x14ac:dyDescent="0.3">
      <c r="A25" s="320" t="s">
        <v>241</v>
      </c>
      <c r="B25" s="322">
        <f>Dashboard!C10</f>
        <v>25</v>
      </c>
      <c r="C25" s="29" t="s">
        <v>233</v>
      </c>
      <c r="D25" s="35"/>
      <c r="E25" s="35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8"/>
      <c r="AH25" s="38"/>
      <c r="AI25" s="111">
        <f>AI22/AI11</f>
        <v>21.986152019002375</v>
      </c>
      <c r="AJ25" s="111">
        <f>AJ22/AJ11</f>
        <v>22.634306412664348</v>
      </c>
      <c r="AK25" s="111">
        <f t="shared" ref="AK25:BG25" si="41">AK22/AK11</f>
        <v>25.214728453364813</v>
      </c>
      <c r="AL25" s="111">
        <f t="shared" si="41"/>
        <v>28.288068857589987</v>
      </c>
      <c r="AM25" s="111">
        <f t="shared" si="41"/>
        <v>32.147900832428519</v>
      </c>
      <c r="AN25" s="111">
        <f t="shared" si="41"/>
        <v>23.758544040513655</v>
      </c>
      <c r="AO25" s="111">
        <f t="shared" si="41"/>
        <v>23.234852782117535</v>
      </c>
      <c r="AP25" s="111">
        <f t="shared" si="41"/>
        <v>21.625771098689636</v>
      </c>
      <c r="AQ25" s="111">
        <f t="shared" si="41"/>
        <v>24.740522375915376</v>
      </c>
      <c r="AR25" s="111">
        <f t="shared" si="41"/>
        <v>22.796454000000001</v>
      </c>
      <c r="AS25" s="111">
        <f t="shared" si="41"/>
        <v>24.332766300839253</v>
      </c>
      <c r="AT25" s="111">
        <f t="shared" si="41"/>
        <v>26.02773801485483</v>
      </c>
      <c r="AU25" s="111">
        <f t="shared" si="41"/>
        <v>36.086801424141484</v>
      </c>
      <c r="AV25" s="111">
        <f t="shared" si="41"/>
        <v>25.627834112724585</v>
      </c>
      <c r="AW25" s="111">
        <f t="shared" si="41"/>
        <v>28.503653315885401</v>
      </c>
      <c r="AX25" s="111">
        <f t="shared" si="41"/>
        <v>27.033363495346425</v>
      </c>
      <c r="AY25" s="111">
        <f t="shared" si="41"/>
        <v>23.85931574823714</v>
      </c>
      <c r="AZ25" s="111">
        <f t="shared" si="41"/>
        <v>18.870996111975117</v>
      </c>
      <c r="BA25" s="111">
        <f t="shared" si="41"/>
        <v>25.049765332281606</v>
      </c>
      <c r="BB25" s="111">
        <f t="shared" si="41"/>
        <v>24.138606544784146</v>
      </c>
      <c r="BC25" s="111">
        <f t="shared" si="41"/>
        <v>25.692335386830951</v>
      </c>
      <c r="BD25" s="111">
        <f t="shared" si="41"/>
        <v>26.521281858264327</v>
      </c>
      <c r="BE25" s="111">
        <f t="shared" si="41"/>
        <v>24.358202278801521</v>
      </c>
      <c r="BF25" s="111">
        <f t="shared" si="41"/>
        <v>26.102848725775537</v>
      </c>
      <c r="BG25" s="111">
        <f t="shared" si="41"/>
        <v>28.984007276507278</v>
      </c>
      <c r="BH25" s="111">
        <f t="shared" ref="BH25:BN25" si="42">BH22/BH11</f>
        <v>29.792568936201672</v>
      </c>
      <c r="BI25" s="111">
        <f t="shared" si="42"/>
        <v>30.627699012812435</v>
      </c>
      <c r="BJ25" s="111">
        <f t="shared" si="42"/>
        <v>33.498006315789475</v>
      </c>
      <c r="BK25" s="111">
        <f t="shared" si="42"/>
        <v>32.643802787601409</v>
      </c>
      <c r="BL25" s="111">
        <f t="shared" si="42"/>
        <v>23.818216632375385</v>
      </c>
      <c r="BM25" s="111">
        <f t="shared" si="42"/>
        <v>22.19264115725618</v>
      </c>
      <c r="BN25" s="111">
        <f t="shared" si="42"/>
        <v>25.662702191235059</v>
      </c>
      <c r="BO25" s="111">
        <f t="shared" ref="BO25:BP25" si="43">BO22/BO11</f>
        <v>19.474449008498585</v>
      </c>
      <c r="BP25" s="111">
        <f t="shared" si="43"/>
        <v>19.08409565959262</v>
      </c>
      <c r="BQ25" s="386">
        <f t="shared" ref="BQ25" si="44">BQ22/BQ11</f>
        <v>19.326480143423698</v>
      </c>
      <c r="BR25" s="48">
        <f t="shared" ref="BQ25:CI25" si="45">$B$25</f>
        <v>25</v>
      </c>
      <c r="BS25" s="48">
        <f t="shared" si="45"/>
        <v>25</v>
      </c>
      <c r="BT25" s="48">
        <f t="shared" si="45"/>
        <v>25</v>
      </c>
      <c r="BU25" s="48">
        <f t="shared" si="45"/>
        <v>25</v>
      </c>
      <c r="BV25" s="48">
        <f t="shared" si="45"/>
        <v>25</v>
      </c>
      <c r="BW25" s="48">
        <f t="shared" si="45"/>
        <v>25</v>
      </c>
      <c r="BX25" s="48">
        <f t="shared" si="45"/>
        <v>25</v>
      </c>
      <c r="BY25" s="48">
        <f t="shared" si="45"/>
        <v>25</v>
      </c>
      <c r="BZ25" s="48">
        <f t="shared" si="45"/>
        <v>25</v>
      </c>
      <c r="CA25" s="48">
        <f t="shared" si="45"/>
        <v>25</v>
      </c>
      <c r="CB25" s="48">
        <f t="shared" si="45"/>
        <v>25</v>
      </c>
      <c r="CC25" s="48">
        <f t="shared" si="45"/>
        <v>25</v>
      </c>
      <c r="CD25" s="48">
        <f t="shared" si="45"/>
        <v>25</v>
      </c>
      <c r="CE25" s="48">
        <f t="shared" si="45"/>
        <v>25</v>
      </c>
      <c r="CF25" s="48">
        <f t="shared" si="45"/>
        <v>25</v>
      </c>
      <c r="CG25" s="48">
        <f t="shared" si="45"/>
        <v>25</v>
      </c>
      <c r="CH25" s="48">
        <f t="shared" si="45"/>
        <v>25</v>
      </c>
      <c r="CI25" s="112">
        <f t="shared" si="45"/>
        <v>25</v>
      </c>
      <c r="CJ25" s="136"/>
    </row>
    <row r="26" spans="1:88" x14ac:dyDescent="0.3">
      <c r="A26" s="33"/>
      <c r="B26" s="34"/>
      <c r="C26" s="29" t="s">
        <v>234</v>
      </c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8"/>
      <c r="AH26" s="38"/>
      <c r="AI26" s="113">
        <f>(1/AI13)*(AI48/AI8)</f>
        <v>76.115874047521885</v>
      </c>
      <c r="AJ26" s="113">
        <f>(1/AJ13)*(AJ48/AJ8)</f>
        <v>58.369611236810265</v>
      </c>
      <c r="AK26" s="113">
        <f t="shared" ref="AK26:BG26" si="46">(1/AK13)*(AK48/AK8)</f>
        <v>43.835637269223</v>
      </c>
      <c r="AL26" s="113">
        <f t="shared" si="46"/>
        <v>75.318096559519532</v>
      </c>
      <c r="AM26" s="113">
        <f t="shared" si="46"/>
        <v>60.477093678834784</v>
      </c>
      <c r="AN26" s="113">
        <f t="shared" si="46"/>
        <v>65.78418411390227</v>
      </c>
      <c r="AO26" s="113">
        <f t="shared" si="46"/>
        <v>58.430140289251355</v>
      </c>
      <c r="AP26" s="113">
        <f t="shared" si="46"/>
        <v>24.340338113666437</v>
      </c>
      <c r="AQ26" s="113">
        <f t="shared" si="46"/>
        <v>97.9109129487519</v>
      </c>
      <c r="AR26" s="113">
        <f t="shared" si="46"/>
        <v>105.34850673622323</v>
      </c>
      <c r="AS26" s="113">
        <f t="shared" si="46"/>
        <v>69.163955122991553</v>
      </c>
      <c r="AT26" s="113">
        <f t="shared" si="46"/>
        <v>72.872944380169827</v>
      </c>
      <c r="AU26" s="113">
        <f t="shared" si="46"/>
        <v>112.69660639104281</v>
      </c>
      <c r="AV26" s="113">
        <f t="shared" si="46"/>
        <v>73.025083276088068</v>
      </c>
      <c r="AW26" s="113">
        <f t="shared" si="46"/>
        <v>69.521369069395675</v>
      </c>
      <c r="AX26" s="113">
        <f t="shared" si="46"/>
        <v>68.735850397182404</v>
      </c>
      <c r="AY26" s="113">
        <f t="shared" si="46"/>
        <v>44.158429380738262</v>
      </c>
      <c r="AZ26" s="113">
        <f t="shared" si="46"/>
        <v>81.218436198122888</v>
      </c>
      <c r="BA26" s="113">
        <f t="shared" si="46"/>
        <v>90.374019062114499</v>
      </c>
      <c r="BB26" s="113">
        <f t="shared" si="46"/>
        <v>96.273641930914707</v>
      </c>
      <c r="BC26" s="113">
        <f t="shared" si="46"/>
        <v>88.841582505296472</v>
      </c>
      <c r="BD26" s="113">
        <f t="shared" si="46"/>
        <v>110.89757974902955</v>
      </c>
      <c r="BE26" s="113">
        <f t="shared" si="46"/>
        <v>78.569427989414621</v>
      </c>
      <c r="BF26" s="113">
        <f t="shared" si="46"/>
        <v>91.317969921629881</v>
      </c>
      <c r="BG26" s="113">
        <f t="shared" si="46"/>
        <v>75.688010023291326</v>
      </c>
      <c r="BH26" s="113">
        <f t="shared" ref="BH26:BN26" si="47">(1/BH13)*(BH48/BH8)</f>
        <v>74.008028337828037</v>
      </c>
      <c r="BI26" s="113">
        <f t="shared" si="47"/>
        <v>106.63110133825128</v>
      </c>
      <c r="BJ26" s="113">
        <f t="shared" si="47"/>
        <v>63.657680889304743</v>
      </c>
      <c r="BK26" s="113">
        <f t="shared" si="47"/>
        <v>66.351577966297725</v>
      </c>
      <c r="BL26" s="113">
        <f t="shared" si="47"/>
        <v>108.98202734272866</v>
      </c>
      <c r="BM26" s="113">
        <f t="shared" si="47"/>
        <v>84.228185549565424</v>
      </c>
      <c r="BN26" s="113">
        <f t="shared" si="47"/>
        <v>128.55853220474401</v>
      </c>
      <c r="BO26" s="113">
        <f t="shared" ref="BO26:BP26" si="48">(1/BO13)*(BO48/BO8)</f>
        <v>222.95739646666055</v>
      </c>
      <c r="BP26" s="113">
        <f t="shared" si="48"/>
        <v>164.85221485795654</v>
      </c>
      <c r="BQ26" s="387">
        <f t="shared" ref="BQ26" si="49">(1/BQ13)*(BQ48/BQ8)</f>
        <v>147.09868439756249</v>
      </c>
      <c r="BR26" s="46">
        <f t="shared" ref="BQ26:CI26" si="50">(1/BR13)*(BR48/BR8)</f>
        <v>99.330000000000013</v>
      </c>
      <c r="BS26" s="46">
        <f t="shared" si="50"/>
        <v>99.33</v>
      </c>
      <c r="BT26" s="46">
        <f t="shared" si="50"/>
        <v>99.33</v>
      </c>
      <c r="BU26" s="46">
        <f t="shared" si="50"/>
        <v>99.33</v>
      </c>
      <c r="BV26" s="46">
        <f t="shared" si="50"/>
        <v>99.33</v>
      </c>
      <c r="BW26" s="46">
        <f t="shared" si="50"/>
        <v>99.33</v>
      </c>
      <c r="BX26" s="46">
        <f t="shared" si="50"/>
        <v>99.33</v>
      </c>
      <c r="BY26" s="46">
        <f t="shared" si="50"/>
        <v>99.33</v>
      </c>
      <c r="BZ26" s="46">
        <f t="shared" si="50"/>
        <v>99.33</v>
      </c>
      <c r="CA26" s="46">
        <f t="shared" si="50"/>
        <v>99.329999999999984</v>
      </c>
      <c r="CB26" s="46">
        <f t="shared" si="50"/>
        <v>99.33</v>
      </c>
      <c r="CC26" s="46">
        <f t="shared" si="50"/>
        <v>99.329999999999984</v>
      </c>
      <c r="CD26" s="46">
        <f t="shared" si="50"/>
        <v>99.33</v>
      </c>
      <c r="CE26" s="46">
        <f t="shared" si="50"/>
        <v>99.33</v>
      </c>
      <c r="CF26" s="46">
        <f t="shared" si="50"/>
        <v>99.33</v>
      </c>
      <c r="CG26" s="46">
        <f t="shared" si="50"/>
        <v>99.33</v>
      </c>
      <c r="CH26" s="46">
        <f t="shared" si="50"/>
        <v>99.33</v>
      </c>
      <c r="CI26" s="103">
        <f t="shared" si="50"/>
        <v>99.330000000000013</v>
      </c>
      <c r="CJ26" s="136"/>
    </row>
    <row r="27" spans="1:88" x14ac:dyDescent="0.3">
      <c r="A27" s="40"/>
      <c r="B27" s="41"/>
      <c r="C27" s="30" t="s">
        <v>238</v>
      </c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2"/>
      <c r="U27" s="42"/>
      <c r="V27" s="42"/>
      <c r="W27" s="42"/>
      <c r="X27" s="42"/>
      <c r="Y27" s="42"/>
      <c r="Z27" s="42"/>
      <c r="AA27" s="42"/>
      <c r="AB27" s="42"/>
      <c r="AC27" s="42"/>
      <c r="AD27" s="42"/>
      <c r="AE27" s="42"/>
      <c r="AF27" s="42"/>
      <c r="AG27" s="43"/>
      <c r="AH27" s="43"/>
      <c r="AI27" s="31">
        <f>AI26/AI25</f>
        <v>3.4619916200768475</v>
      </c>
      <c r="AJ27" s="31">
        <f>AJ26/AJ25</f>
        <v>2.5788115691564242</v>
      </c>
      <c r="AK27" s="31">
        <f t="shared" ref="AK27:BG27" si="51">AK26/AK25</f>
        <v>1.7384933313994622</v>
      </c>
      <c r="AL27" s="31">
        <f t="shared" si="51"/>
        <v>2.6625393532054731</v>
      </c>
      <c r="AM27" s="31">
        <f t="shared" si="51"/>
        <v>1.8812143907645065</v>
      </c>
      <c r="AN27" s="31">
        <f t="shared" si="51"/>
        <v>2.7688642873791194</v>
      </c>
      <c r="AO27" s="31">
        <f t="shared" si="51"/>
        <v>2.5147626643979217</v>
      </c>
      <c r="AP27" s="31">
        <f t="shared" si="51"/>
        <v>1.1255246345940138</v>
      </c>
      <c r="AQ27" s="31">
        <f t="shared" si="51"/>
        <v>3.9575119498716442</v>
      </c>
      <c r="AR27" s="31">
        <f t="shared" si="51"/>
        <v>4.6212672697351627</v>
      </c>
      <c r="AS27" s="31">
        <f t="shared" si="51"/>
        <v>2.8424205562113189</v>
      </c>
      <c r="AT27" s="31">
        <f t="shared" si="51"/>
        <v>2.7998185758047431</v>
      </c>
      <c r="AU27" s="31">
        <f t="shared" si="51"/>
        <v>3.1229314304273754</v>
      </c>
      <c r="AV27" s="31">
        <f t="shared" si="51"/>
        <v>2.8494442001959919</v>
      </c>
      <c r="AW27" s="31">
        <f t="shared" si="51"/>
        <v>2.4390336318976575</v>
      </c>
      <c r="AX27" s="31">
        <f t="shared" si="51"/>
        <v>2.5426303467200713</v>
      </c>
      <c r="AY27" s="31">
        <f t="shared" si="51"/>
        <v>1.8507835617205801</v>
      </c>
      <c r="AZ27" s="31">
        <f t="shared" si="51"/>
        <v>4.3038764735150075</v>
      </c>
      <c r="BA27" s="31">
        <f t="shared" si="51"/>
        <v>3.6077790695168548</v>
      </c>
      <c r="BB27" s="31">
        <f t="shared" si="51"/>
        <v>3.9883678352476171</v>
      </c>
      <c r="BC27" s="31">
        <f t="shared" si="51"/>
        <v>3.4579021785163895</v>
      </c>
      <c r="BD27" s="31">
        <f t="shared" si="51"/>
        <v>4.1814562486719558</v>
      </c>
      <c r="BE27" s="31">
        <f t="shared" si="51"/>
        <v>3.2255840184803826</v>
      </c>
      <c r="BF27" s="31">
        <f t="shared" si="51"/>
        <v>3.4983909565187412</v>
      </c>
      <c r="BG27" s="32">
        <f t="shared" si="51"/>
        <v>2.6113714815631983</v>
      </c>
      <c r="BH27" s="32">
        <f t="shared" ref="BH27:BN27" si="52">BH26/BH25</f>
        <v>2.4841103328924108</v>
      </c>
      <c r="BI27" s="32">
        <f t="shared" si="52"/>
        <v>3.4815250500419399</v>
      </c>
      <c r="BJ27" s="32">
        <f t="shared" si="52"/>
        <v>1.9003423752803861</v>
      </c>
      <c r="BK27" s="32">
        <f t="shared" si="52"/>
        <v>2.0325933959967135</v>
      </c>
      <c r="BL27" s="32">
        <f t="shared" si="52"/>
        <v>4.5755746126934067</v>
      </c>
      <c r="BM27" s="32">
        <f t="shared" si="52"/>
        <v>3.7953204827099136</v>
      </c>
      <c r="BN27" s="32">
        <f t="shared" si="52"/>
        <v>5.0095477571591198</v>
      </c>
      <c r="BO27" s="32">
        <f t="shared" ref="BO27:BP27" si="53">BO26/BO25</f>
        <v>11.448713972311241</v>
      </c>
      <c r="BP27" s="32">
        <f t="shared" si="53"/>
        <v>8.6381989379252335</v>
      </c>
      <c r="BQ27" s="390">
        <f t="shared" ref="BQ27" si="54">BQ26/BQ25</f>
        <v>7.6112506419135189</v>
      </c>
      <c r="BR27" s="51">
        <f t="shared" ref="BR27" si="55">BR26/BR25</f>
        <v>3.9732000000000003</v>
      </c>
      <c r="BS27" s="51">
        <f t="shared" ref="BS27" si="56">BS26/BS25</f>
        <v>3.9731999999999998</v>
      </c>
      <c r="BT27" s="51">
        <f t="shared" ref="BT27" si="57">BT26/BT25</f>
        <v>3.9731999999999998</v>
      </c>
      <c r="BU27" s="51">
        <f t="shared" ref="BU27" si="58">BU26/BU25</f>
        <v>3.9731999999999998</v>
      </c>
      <c r="BV27" s="51">
        <f t="shared" ref="BV27" si="59">BV26/BV25</f>
        <v>3.9731999999999998</v>
      </c>
      <c r="BW27" s="51">
        <f t="shared" ref="BW27" si="60">BW26/BW25</f>
        <v>3.9731999999999998</v>
      </c>
      <c r="BX27" s="51">
        <f t="shared" ref="BX27" si="61">BX26/BX25</f>
        <v>3.9731999999999998</v>
      </c>
      <c r="BY27" s="51">
        <f t="shared" ref="BY27" si="62">BY26/BY25</f>
        <v>3.9731999999999998</v>
      </c>
      <c r="BZ27" s="51">
        <f t="shared" ref="BZ27" si="63">BZ26/BZ25</f>
        <v>3.9731999999999998</v>
      </c>
      <c r="CA27" s="51">
        <f t="shared" ref="CA27" si="64">CA26/CA25</f>
        <v>3.9731999999999994</v>
      </c>
      <c r="CB27" s="51">
        <f t="shared" ref="CB27" si="65">CB26/CB25</f>
        <v>3.9731999999999998</v>
      </c>
      <c r="CC27" s="51">
        <f t="shared" ref="CC27" si="66">CC26/CC25</f>
        <v>3.9731999999999994</v>
      </c>
      <c r="CD27" s="51">
        <f t="shared" ref="CD27" si="67">CD26/CD25</f>
        <v>3.9731999999999998</v>
      </c>
      <c r="CE27" s="51">
        <f t="shared" ref="CE27" si="68">CE26/CE25</f>
        <v>3.9731999999999998</v>
      </c>
      <c r="CF27" s="51">
        <f t="shared" ref="CF27" si="69">CF26/CF25</f>
        <v>3.9731999999999998</v>
      </c>
      <c r="CG27" s="51">
        <f t="shared" ref="CG27" si="70">CG26/CG25</f>
        <v>3.9731999999999998</v>
      </c>
      <c r="CH27" s="51">
        <f t="shared" ref="CH27" si="71">CH26/CH25</f>
        <v>3.9731999999999998</v>
      </c>
      <c r="CI27" s="118">
        <f t="shared" ref="CI27" si="72">CI26/CI25</f>
        <v>3.9732000000000003</v>
      </c>
      <c r="CJ27" s="288"/>
    </row>
    <row r="28" spans="1:88" x14ac:dyDescent="0.3">
      <c r="A28" s="33"/>
      <c r="B28" s="68"/>
      <c r="C28" s="76" t="s">
        <v>17</v>
      </c>
      <c r="D28" s="100">
        <f>IFERROR(INDEX('I2015'!B$5:B$73,MATCH($C28,'I2015'!$A$5:$A$73,0)),"")</f>
        <v>0</v>
      </c>
      <c r="E28" s="100">
        <f>IFERROR(INDEX('I2015'!C$5:C$73,MATCH($C28,'I2015'!$A$5:$A$73,0)),"")</f>
        <v>0</v>
      </c>
      <c r="F28" s="100">
        <f>IFERROR(INDEX('I2015'!D$5:D$73,MATCH($C28,'I2015'!$A$5:$A$73,0)),"")</f>
        <v>0</v>
      </c>
      <c r="G28" s="100">
        <f>IFERROR(INDEX('I2015'!E$5:E$73,MATCH($C28,'I2015'!$A$5:$A$73,0)),"")</f>
        <v>0</v>
      </c>
      <c r="H28" s="100">
        <f>IFERROR(INDEX('I2015'!F$5:F$73,MATCH($C28,'I2015'!$A$5:$A$73,0)),"")</f>
        <v>0</v>
      </c>
      <c r="I28" s="100">
        <f>IFERROR(INDEX('I2015'!G$5:G$73,MATCH($C28,'I2015'!$A$5:$A$73,0)),"")</f>
        <v>0</v>
      </c>
      <c r="J28" s="100">
        <f>IFERROR(INDEX('I2015'!H$5:H$73,MATCH($C28,'I2015'!$A$5:$A$73,0)),"")</f>
        <v>0</v>
      </c>
      <c r="K28" s="100">
        <f>IFERROR(INDEX('I2015'!I$5:I$73,MATCH($C28,'I2015'!$A$5:$A$73,0)),"")</f>
        <v>0</v>
      </c>
      <c r="L28" s="100">
        <f>IFERROR(INDEX('I2015'!J$5:J$73,MATCH($C28,'I2015'!$A$5:$A$73,0)),"")</f>
        <v>0</v>
      </c>
      <c r="M28" s="100">
        <f>IFERROR(INDEX('I2015'!K$5:K$73,MATCH($C28,'I2015'!$A$5:$A$73,0)),"")</f>
        <v>0</v>
      </c>
      <c r="N28" s="100">
        <f>IFERROR(INDEX('I2015'!L$5:L$73,MATCH($C28,'I2015'!$A$5:$A$73,0)),"")</f>
        <v>0</v>
      </c>
      <c r="O28" s="100">
        <f>IFERROR(INDEX('I2015'!M$5:M$73,MATCH($C28,'I2015'!$A$5:$A$73,0)),"")</f>
        <v>0</v>
      </c>
      <c r="P28" s="100">
        <f>IFERROR(INDEX('I2016'!B$5:B$90,MATCH($C28,'I2016'!$A$5:$A$90,0)),"")</f>
        <v>0</v>
      </c>
      <c r="Q28" s="100">
        <f>IFERROR(INDEX('I2016'!C$5:C$90,MATCH($C28,'I2016'!$A$5:$A$90,0)),"")</f>
        <v>0</v>
      </c>
      <c r="R28" s="100">
        <f>IFERROR(INDEX('I2016'!D$5:D$90,MATCH($C28,'I2016'!$A$5:$A$90,0)),"")</f>
        <v>0</v>
      </c>
      <c r="S28" s="100">
        <f>IFERROR(INDEX('I2016'!E$5:E$90,MATCH($C28,'I2016'!$A$5:$A$90,0)),"")</f>
        <v>0</v>
      </c>
      <c r="T28" s="100">
        <f>IFERROR(INDEX('I2016'!F$5:F$90,MATCH($C28,'I2016'!$A$5:$A$90,0)),"")</f>
        <v>0</v>
      </c>
      <c r="U28" s="100">
        <f>IFERROR(INDEX('I2016'!G$5:G$90,MATCH($C28,'I2016'!$A$5:$A$90,0)),"")</f>
        <v>0</v>
      </c>
      <c r="V28" s="100">
        <f>IFERROR(INDEX('I2016'!H$5:H$90,MATCH($C28,'I2016'!$A$5:$A$90,0)),"")</f>
        <v>0</v>
      </c>
      <c r="W28" s="100">
        <f>IFERROR(INDEX('I2016'!I$5:I$90,MATCH($C28,'I2016'!$A$5:$A$90,0)),"")</f>
        <v>0</v>
      </c>
      <c r="X28" s="100">
        <f>IFERROR(INDEX('I2016'!J$5:J$90,MATCH($C28,'I2016'!$A$5:$A$90,0)),"")</f>
        <v>0</v>
      </c>
      <c r="Y28" s="100">
        <f>IFERROR(INDEX('I2016'!K$5:K$90,MATCH($C28,'I2016'!$A$5:$A$90,0)),"")</f>
        <v>0</v>
      </c>
      <c r="Z28" s="100">
        <f>IFERROR(INDEX('I2016'!L$5:L$90,MATCH($C28,'I2016'!$A$5:$A$90,0)),"")</f>
        <v>0</v>
      </c>
      <c r="AA28" s="100">
        <f>IFERROR(INDEX('I2016'!M$5:M$90,MATCH($C28,'I2016'!$A$5:$A$90,0)),"")</f>
        <v>0</v>
      </c>
      <c r="AB28" s="100">
        <f>IFERROR(INDEX('I2017'!B$5:B$96,MATCH($C28,'I2017'!$A$5:$A$96,0)),"")</f>
        <v>0</v>
      </c>
      <c r="AC28" s="100">
        <f>IFERROR(INDEX('I2017'!C$5:C$96,MATCH($C28,'I2017'!$A$5:$A$96,0)),"")</f>
        <v>0</v>
      </c>
      <c r="AD28" s="100">
        <f>IFERROR(INDEX('I2017'!D$5:D$96,MATCH($C28,'I2017'!$A$5:$A$96,0)),"")</f>
        <v>0</v>
      </c>
      <c r="AE28" s="100">
        <f>IFERROR(INDEX('I2017'!E$5:E$96,MATCH($C28,'I2017'!$A$5:$A$96,0)),"")</f>
        <v>0</v>
      </c>
      <c r="AF28" s="100">
        <f>IFERROR(INDEX('I2017'!F$5:F$96,MATCH($C28,'I2017'!$A$5:$A$96,0)),"")</f>
        <v>0</v>
      </c>
      <c r="AG28" s="100">
        <f>IFERROR(INDEX('I2017'!G$5:G$96,MATCH($C28,'I2017'!$A$5:$A$96,0)),"")</f>
        <v>0</v>
      </c>
      <c r="AH28" s="100">
        <f>IFERROR(INDEX('I2017'!H$5:H$96,MATCH($C28,'I2017'!$A$5:$A$96,0)),"")</f>
        <v>0</v>
      </c>
      <c r="AI28" s="100">
        <f>IFERROR(INDEX('I2017'!I$5:I$96,MATCH($C28,'I2017'!$A$5:$A$96,0)),"")</f>
        <v>0</v>
      </c>
      <c r="AJ28" s="100">
        <f>IFERROR(INDEX('I2017'!J$5:J$96,MATCH($C28,'I2017'!$A$5:$A$96,0)),"")</f>
        <v>0</v>
      </c>
      <c r="AK28" s="100">
        <f>IFERROR(INDEX('I2017'!K$5:K$96,MATCH($C28,'I2017'!$A$5:$A$96,0)),"")</f>
        <v>0</v>
      </c>
      <c r="AL28" s="100">
        <f>IFERROR(INDEX('I2017'!L$5:L$96,MATCH($C28,'I2017'!$A$5:$A$96,0)),"")</f>
        <v>0</v>
      </c>
      <c r="AM28" s="100">
        <f>IFERROR(INDEX('I2017'!M$5:M$96,MATCH($C28,'I2017'!$A$5:$A$96,0)),"")</f>
        <v>0</v>
      </c>
      <c r="AN28" s="100">
        <f>IFERROR(INDEX('I2018'!B$5:B$107,MATCH($C28,'I2018'!$A$5:$A$107,0)),"")</f>
        <v>0</v>
      </c>
      <c r="AO28" s="100">
        <f>IFERROR(INDEX('I2018'!C$5:C$107,MATCH($C28,'I2018'!$A$5:$A$107,0)),"")</f>
        <v>0</v>
      </c>
      <c r="AP28" s="100">
        <f>IFERROR(INDEX('I2018'!D$5:D$107,MATCH($C28,'I2018'!$A$5:$A$107,0)),"")</f>
        <v>0</v>
      </c>
      <c r="AQ28" s="100">
        <f>IFERROR(INDEX('I2018'!E$5:E$107,MATCH($C28,'I2018'!$A$5:$A$107,0)),"")</f>
        <v>0</v>
      </c>
      <c r="AR28" s="100">
        <f>IFERROR(INDEX('I2018'!F$5:F$107,MATCH($C28,'I2018'!$A$5:$A$107,0)),"")</f>
        <v>0</v>
      </c>
      <c r="AS28" s="100">
        <f>IFERROR(INDEX('I2018'!G$5:G$107,MATCH($C28,'I2018'!$A$5:$A$107,0)),"")</f>
        <v>0</v>
      </c>
      <c r="AT28" s="100">
        <f>IFERROR(INDEX('I2018'!H$5:H$107,MATCH($C28,'I2018'!$A$5:$A$107,0)),"")</f>
        <v>0</v>
      </c>
      <c r="AU28" s="100">
        <f>IFERROR(INDEX('I2018'!I$5:I$107,MATCH($C28,'I2018'!$A$5:$A$107,0)),"")</f>
        <v>0</v>
      </c>
      <c r="AV28" s="100">
        <f>IFERROR(INDEX('I2018'!J$5:J$107,MATCH($C28,'I2018'!$A$5:$A$107,0)),"")</f>
        <v>0</v>
      </c>
      <c r="AW28" s="100">
        <f>IFERROR(INDEX('I2018'!K$5:K$107,MATCH($C28,'I2018'!$A$5:$A$107,0)),"")</f>
        <v>0</v>
      </c>
      <c r="AX28" s="100">
        <f>IFERROR(INDEX('I2018'!L$5:L$107,MATCH($C28,'I2018'!$A$5:$A$107,0)),"")</f>
        <v>0</v>
      </c>
      <c r="AY28" s="100">
        <f>IFERROR(INDEX('I2018'!M$5:M$107,MATCH($C28,'I2018'!$A$5:$A$107,0)),"")</f>
        <v>0</v>
      </c>
      <c r="AZ28" s="119">
        <f>IFERROR(INDEX('I2019'!B$5:B$112,MATCH($C28,'I2019'!$A$5:$A$112,0)),"")</f>
        <v>0</v>
      </c>
      <c r="BA28" s="119">
        <f>IFERROR(INDEX('I2019'!C$5:C$112,MATCH($C28,'I2019'!$A$5:$A$112,0)),"")</f>
        <v>0</v>
      </c>
      <c r="BB28" s="119">
        <f>IFERROR(INDEX('I2019'!D$5:D$112,MATCH($C28,'I2019'!$A$5:$A$112,0)),"")</f>
        <v>0</v>
      </c>
      <c r="BC28" s="119">
        <f>IFERROR(INDEX('I2019'!E$5:E$112,MATCH($C28,'I2019'!$A$5:$A$112,0)),"")</f>
        <v>0</v>
      </c>
      <c r="BD28" s="119">
        <f>IFERROR(INDEX('I2019'!F$5:F$112,MATCH($C28,'I2019'!$A$5:$A$112,0)),"")</f>
        <v>0</v>
      </c>
      <c r="BE28" s="119">
        <f>IFERROR(INDEX('I2019'!G$5:G$112,MATCH($C28,'I2019'!$A$5:$A$112,0)),"")</f>
        <v>0</v>
      </c>
      <c r="BF28" s="119">
        <f>IFERROR(INDEX('I2019'!H$5:H$112,MATCH($C28,'I2019'!$A$5:$A$112,0)),"")</f>
        <v>0</v>
      </c>
      <c r="BG28" s="119">
        <f>IFERROR(INDEX('I2019'!I$5:I$112,MATCH($C28,'I2019'!$A$5:$A$112,0)),"")</f>
        <v>0</v>
      </c>
      <c r="BH28" s="119">
        <f>IFERROR(INDEX('I2019'!J$5:J$112,MATCH($C28,'I2019'!$A$5:$A$112,0)),"")</f>
        <v>0</v>
      </c>
      <c r="BI28" s="119">
        <f>IFERROR(INDEX('I2019'!K$5:K$112,MATCH($C28,'I2019'!$A$5:$A$112,0)),"")</f>
        <v>0</v>
      </c>
      <c r="BJ28" s="119">
        <f>IFERROR(INDEX('I2019'!L$5:L$112,MATCH($C28,'I2019'!$A$5:$A$112,0)),"")</f>
        <v>0</v>
      </c>
      <c r="BK28" s="119">
        <f>IFERROR(INDEX('I2019'!M$5:M$112,MATCH($C28,'I2019'!$A$5:$A$112,0)),"")</f>
        <v>0</v>
      </c>
      <c r="BL28" s="119"/>
      <c r="BM28" s="119"/>
      <c r="BN28" s="119"/>
      <c r="BO28" s="119"/>
      <c r="BP28" s="119"/>
      <c r="BQ28" s="391"/>
      <c r="BR28" s="77"/>
      <c r="BS28" s="77"/>
      <c r="BT28" s="77"/>
      <c r="BU28" s="77"/>
      <c r="BV28" s="77"/>
      <c r="BW28" s="77"/>
      <c r="BX28" s="77"/>
      <c r="BY28" s="77"/>
      <c r="BZ28" s="77"/>
      <c r="CA28" s="77"/>
      <c r="CB28" s="77"/>
      <c r="CC28" s="77"/>
      <c r="CD28" s="77"/>
      <c r="CE28" s="77"/>
      <c r="CF28" s="77"/>
      <c r="CG28" s="77"/>
      <c r="CH28" s="77"/>
      <c r="CI28" s="120"/>
      <c r="CJ28" s="269"/>
    </row>
    <row r="29" spans="1:88" x14ac:dyDescent="0.3">
      <c r="A29" s="33"/>
      <c r="B29" s="34"/>
      <c r="C29" s="21" t="s">
        <v>18</v>
      </c>
      <c r="D29" s="102">
        <f>IFERROR(INDEX('I2015'!B$5:B$73,MATCH($C29,'I2015'!$A$5:$A$73,0)),"")</f>
        <v>19400.8</v>
      </c>
      <c r="E29" s="102">
        <f>IFERROR(INDEX('I2015'!C$5:C$73,MATCH($C29,'I2015'!$A$5:$A$73,0)),"")</f>
        <v>14611.54</v>
      </c>
      <c r="F29" s="102">
        <f>IFERROR(INDEX('I2015'!D$5:D$73,MATCH($C29,'I2015'!$A$5:$A$73,0)),"")</f>
        <v>16342.97</v>
      </c>
      <c r="G29" s="102">
        <f>IFERROR(INDEX('I2015'!E$5:E$73,MATCH($C29,'I2015'!$A$5:$A$73,0)),"")</f>
        <v>19921.3</v>
      </c>
      <c r="H29" s="102">
        <f>IFERROR(INDEX('I2015'!F$5:F$73,MATCH($C29,'I2015'!$A$5:$A$73,0)),"")</f>
        <v>28289.79</v>
      </c>
      <c r="I29" s="102">
        <f>IFERROR(INDEX('I2015'!G$5:G$73,MATCH($C29,'I2015'!$A$5:$A$73,0)),"")</f>
        <v>23953.599999999999</v>
      </c>
      <c r="J29" s="102">
        <f>IFERROR(INDEX('I2015'!H$5:H$73,MATCH($C29,'I2015'!$A$5:$A$73,0)),"")</f>
        <v>30831.919999999998</v>
      </c>
      <c r="K29" s="102">
        <f>IFERROR(INDEX('I2015'!I$5:I$73,MATCH($C29,'I2015'!$A$5:$A$73,0)),"")</f>
        <v>39356.339999999997</v>
      </c>
      <c r="L29" s="102">
        <f>IFERROR(INDEX('I2015'!J$5:J$73,MATCH($C29,'I2015'!$A$5:$A$73,0)),"")</f>
        <v>49359.96</v>
      </c>
      <c r="M29" s="102">
        <f>IFERROR(INDEX('I2015'!K$5:K$73,MATCH($C29,'I2015'!$A$5:$A$73,0)),"")</f>
        <v>56308.639999999999</v>
      </c>
      <c r="N29" s="102">
        <f>IFERROR(INDEX('I2015'!L$5:L$73,MATCH($C29,'I2015'!$A$5:$A$73,0)),"")</f>
        <v>56091.96</v>
      </c>
      <c r="O29" s="102">
        <f>IFERROR(INDEX('I2015'!M$5:M$73,MATCH($C29,'I2015'!$A$5:$A$73,0)),"")</f>
        <v>61498.73</v>
      </c>
      <c r="P29" s="102">
        <f>IFERROR(INDEX('I2016'!B$5:B$90,MATCH($C29,'I2016'!$A$5:$A$90,0)),"")</f>
        <v>77774.86</v>
      </c>
      <c r="Q29" s="102">
        <f>IFERROR(INDEX('I2016'!C$5:C$90,MATCH($C29,'I2016'!$A$5:$A$90,0)),"")</f>
        <v>115834.7</v>
      </c>
      <c r="R29" s="102">
        <f>IFERROR(INDEX('I2016'!D$5:D$90,MATCH($C29,'I2016'!$A$5:$A$90,0)),"")</f>
        <v>111617.61</v>
      </c>
      <c r="S29" s="102">
        <f>IFERROR(INDEX('I2016'!E$5:E$90,MATCH($C29,'I2016'!$A$5:$A$90,0)),"")</f>
        <v>114626.36</v>
      </c>
      <c r="T29" s="102">
        <f>IFERROR(INDEX('I2016'!F$5:F$90,MATCH($C29,'I2016'!$A$5:$A$90,0)),"")</f>
        <v>111730.65</v>
      </c>
      <c r="U29" s="102">
        <f>IFERROR(INDEX('I2016'!G$5:G$90,MATCH($C29,'I2016'!$A$5:$A$90,0)),"")</f>
        <v>133049.99</v>
      </c>
      <c r="V29" s="102">
        <f>IFERROR(INDEX('I2016'!H$5:H$90,MATCH($C29,'I2016'!$A$5:$A$90,0)),"")</f>
        <v>125449.94</v>
      </c>
      <c r="W29" s="102">
        <f>IFERROR(INDEX('I2016'!I$5:I$90,MATCH($C29,'I2016'!$A$5:$A$90,0)),"")</f>
        <v>138681.18</v>
      </c>
      <c r="X29" s="102">
        <f>IFERROR(INDEX('I2016'!J$5:J$90,MATCH($C29,'I2016'!$A$5:$A$90,0)),"")</f>
        <v>137741.67000000001</v>
      </c>
      <c r="Y29" s="102">
        <f>IFERROR(INDEX('I2016'!K$5:K$90,MATCH($C29,'I2016'!$A$5:$A$90,0)),"")</f>
        <v>150495.89000000001</v>
      </c>
      <c r="Z29" s="102">
        <f>IFERROR(INDEX('I2016'!L$5:L$90,MATCH($C29,'I2016'!$A$5:$A$90,0)),"")</f>
        <v>160900.76999999999</v>
      </c>
      <c r="AA29" s="102">
        <f>IFERROR(INDEX('I2016'!M$5:M$90,MATCH($C29,'I2016'!$A$5:$A$90,0)),"")</f>
        <v>166819.71</v>
      </c>
      <c r="AB29" s="102">
        <f>IFERROR(INDEX('I2017'!B$5:B$96,MATCH($C29,'I2017'!$A$5:$A$96,0)),"")</f>
        <v>175479.88</v>
      </c>
      <c r="AC29" s="102">
        <f>IFERROR(INDEX('I2017'!C$5:C$96,MATCH($C29,'I2017'!$A$5:$A$96,0)),"")</f>
        <v>170936.17</v>
      </c>
      <c r="AD29" s="102">
        <f>IFERROR(INDEX('I2017'!D$5:D$96,MATCH($C29,'I2017'!$A$5:$A$96,0)),"")</f>
        <v>261609.36</v>
      </c>
      <c r="AE29" s="102">
        <f>IFERROR(INDEX('I2017'!E$5:E$96,MATCH($C29,'I2017'!$A$5:$A$96,0)),"")</f>
        <v>252471.08</v>
      </c>
      <c r="AF29" s="102">
        <f>IFERROR(INDEX('I2017'!F$5:F$96,MATCH($C29,'I2017'!$A$5:$A$96,0)),"")</f>
        <v>293509.28999999998</v>
      </c>
      <c r="AG29" s="102">
        <f>IFERROR(INDEX('I2017'!G$5:G$96,MATCH($C29,'I2017'!$A$5:$A$96,0)),"")</f>
        <v>321195.15000000002</v>
      </c>
      <c r="AH29" s="102">
        <f>IFERROR(INDEX('I2017'!H$5:H$96,MATCH($C29,'I2017'!$A$5:$A$96,0)),"")</f>
        <v>286840.69</v>
      </c>
      <c r="AI29" s="102">
        <f>IFERROR(INDEX('I2017'!I$5:I$96,MATCH($C29,'I2017'!$A$5:$A$96,0)),"")</f>
        <v>358925.84</v>
      </c>
      <c r="AJ29" s="102">
        <f>IFERROR(INDEX('I2017'!J$5:J$96,MATCH($C29,'I2017'!$A$5:$A$96,0)),"")</f>
        <v>346468.1</v>
      </c>
      <c r="AK29" s="102">
        <f>IFERROR(INDEX('I2017'!K$5:K$96,MATCH($C29,'I2017'!$A$5:$A$96,0)),"")</f>
        <v>335459.63</v>
      </c>
      <c r="AL29" s="102">
        <f>IFERROR(INDEX('I2017'!L$5:L$96,MATCH($C29,'I2017'!$A$5:$A$96,0)),"")</f>
        <v>407025.33</v>
      </c>
      <c r="AM29" s="102">
        <f>IFERROR(INDEX('I2017'!M$5:M$96,MATCH($C29,'I2017'!$A$5:$A$96,0)),"")</f>
        <v>389783.93</v>
      </c>
      <c r="AN29" s="102">
        <f>IFERROR(INDEX('I2018'!B$5:B$107,MATCH($C29,'I2018'!$A$5:$A$107,0)),"")</f>
        <v>449506.31</v>
      </c>
      <c r="AO29" s="102">
        <f>IFERROR(INDEX('I2018'!C$5:C$107,MATCH($C29,'I2018'!$A$5:$A$107,0)),"")</f>
        <v>412315.94</v>
      </c>
      <c r="AP29" s="102">
        <f>IFERROR(INDEX('I2018'!D$5:D$107,MATCH($C29,'I2018'!$A$5:$A$107,0)),"")</f>
        <v>688164.93</v>
      </c>
      <c r="AQ29" s="102">
        <f>IFERROR(INDEX('I2018'!E$5:E$107,MATCH($C29,'I2018'!$A$5:$A$107,0)),"")</f>
        <v>1120922.52</v>
      </c>
      <c r="AR29" s="102">
        <f>IFERROR(INDEX('I2018'!F$5:F$107,MATCH($C29,'I2018'!$A$5:$A$107,0)),"")</f>
        <v>1159950.72</v>
      </c>
      <c r="AS29" s="102">
        <f>IFERROR(INDEX('I2018'!G$5:G$107,MATCH($C29,'I2018'!$A$5:$A$107,0)),"")</f>
        <v>1101331.92</v>
      </c>
      <c r="AT29" s="102">
        <f>IFERROR(INDEX('I2018'!H$5:H$107,MATCH($C29,'I2018'!$A$5:$A$107,0)),"")</f>
        <v>1277200.51</v>
      </c>
      <c r="AU29" s="102">
        <f>IFERROR(INDEX('I2018'!I$5:I$107,MATCH($C29,'I2018'!$A$5:$A$107,0)),"")</f>
        <v>1770166.06</v>
      </c>
      <c r="AV29" s="102">
        <f>IFERROR(INDEX('I2018'!J$5:J$107,MATCH($C29,'I2018'!$A$5:$A$107,0)),"")</f>
        <v>1583921.23</v>
      </c>
      <c r="AW29" s="102">
        <f>IFERROR(INDEX('I2018'!K$5:K$107,MATCH($C29,'I2018'!$A$5:$A$107,0)),"")</f>
        <v>1941754.8799999999</v>
      </c>
      <c r="AX29" s="102">
        <f>IFERROR(INDEX('I2018'!L$5:L$107,MATCH($C29,'I2018'!$A$5:$A$107,0)),"")</f>
        <v>1914975.88</v>
      </c>
      <c r="AY29" s="102">
        <f>IFERROR(INDEX('I2018'!M$5:M$107,MATCH($C29,'I2018'!$A$5:$A$107,0)),"")</f>
        <v>1911699.81</v>
      </c>
      <c r="AZ29" s="102">
        <f>IFERROR(INDEX('I2019'!B$5:B$112,MATCH($C29,'I2019'!$A$5:$A$112,0)),"")</f>
        <v>2361646.36</v>
      </c>
      <c r="BA29" s="102">
        <f>IFERROR(INDEX('I2019'!C$5:C$112,MATCH($C29,'I2019'!$A$5:$A$112,0)),"")</f>
        <v>2080114.98</v>
      </c>
      <c r="BB29" s="102">
        <f>IFERROR(INDEX('I2019'!D$5:D$112,MATCH($C29,'I2019'!$A$5:$A$112,0)),"")</f>
        <v>2298309.13</v>
      </c>
      <c r="BC29" s="102">
        <f>IFERROR(INDEX('I2019'!E$5:E$112,MATCH($C29,'I2019'!$A$5:$A$112,0)),"")</f>
        <v>2332928.0099999998</v>
      </c>
      <c r="BD29" s="102">
        <f>IFERROR(INDEX('I2019'!F$5:F$112,MATCH($C29,'I2019'!$A$5:$A$112,0)),"")</f>
        <v>2479489.39</v>
      </c>
      <c r="BE29" s="102">
        <f>IFERROR(INDEX('I2019'!G$5:G$112,MATCH($C29,'I2019'!$A$5:$A$112,0)),"")</f>
        <v>2214105.5499999998</v>
      </c>
      <c r="BF29" s="102">
        <f>IFERROR(INDEX('I2019'!H$5:H$112,MATCH($C29,'I2019'!$A$5:$A$112,0)),"")</f>
        <v>2577661.09</v>
      </c>
      <c r="BG29" s="102">
        <f>IFERROR(INDEX('I2019'!I$5:I$112,MATCH($C29,'I2019'!$A$5:$A$112,0)),"")</f>
        <v>2613482.4900000002</v>
      </c>
      <c r="BH29" s="102">
        <f>IFERROR(INDEX('I2019'!J$5:J$112,MATCH($C29,'I2019'!$A$5:$A$112,0)),"")</f>
        <v>2205283.7400000002</v>
      </c>
      <c r="BI29" s="102">
        <f>IFERROR(INDEX('I2019'!K$5:K$112,MATCH($C29,'I2019'!$A$5:$A$112,0)),"")</f>
        <v>2827126.13</v>
      </c>
      <c r="BJ29" s="102">
        <f>IFERROR(INDEX('I2019'!L$5:L$112,MATCH($C29,'I2019'!$A$5:$A$112,0)),"")</f>
        <v>2058742.23</v>
      </c>
      <c r="BK29" s="102">
        <f>IFERROR(INDEX('I2019'!M$5:M$112,MATCH($C29,'I2019'!$A$5:$A$112,0)),"")</f>
        <v>2383622.9</v>
      </c>
      <c r="BL29" s="102">
        <f>IFERROR(INDEX('I2020'!B$5:B$113,MATCH($C29,'I2020'!$A$5:$A$113,0)),"")</f>
        <v>2588924.3199999998</v>
      </c>
      <c r="BM29" s="102">
        <f>IFERROR(INDEX('I2020'!C$5:C$113,MATCH($C29,'I2020'!$A$5:$A$113,0)),"")</f>
        <v>2293243.14</v>
      </c>
      <c r="BN29" s="102">
        <f>IFERROR(INDEX('I2020'!D$5:D$113,MATCH($C29,'I2020'!$A$5:$A$113,0)),"")</f>
        <v>2858758.31</v>
      </c>
      <c r="BO29" s="102">
        <f>IFERROR(INDEX('I2020'!E$5:E$113,MATCH($C29,'I2020'!$A$5:$A$113,0)),"")</f>
        <v>2872051.65</v>
      </c>
      <c r="BP29" s="102">
        <f>IFERROR(INDEX('I2020'!F$5:F$113,MATCH($C29,'I2020'!$A$5:$A$113,0)),"")</f>
        <v>2748936.36</v>
      </c>
      <c r="BQ29" s="392">
        <f>IFERROR(INDEX('I2020'!G$5:G$113,MATCH($C29,'I2020'!$A$5:$A$113,0)),"")</f>
        <v>3343337.59</v>
      </c>
      <c r="BR29" s="58">
        <f t="shared" ref="BQ29:CI29" si="73">SUM(BF29:BQ29)/SUM(BF31:BQ31)*BR31</f>
        <v>3222084.6825006027</v>
      </c>
      <c r="BS29" s="58">
        <f t="shared" si="73"/>
        <v>3270767.9968259498</v>
      </c>
      <c r="BT29" s="58">
        <f t="shared" si="73"/>
        <v>3352066.0226044287</v>
      </c>
      <c r="BU29" s="58">
        <f t="shared" si="73"/>
        <v>3457302.0349638714</v>
      </c>
      <c r="BV29" s="58">
        <f t="shared" si="73"/>
        <v>3574257.6381753758</v>
      </c>
      <c r="BW29" s="58">
        <f t="shared" si="73"/>
        <v>3719071.2269747378</v>
      </c>
      <c r="BX29" s="58">
        <f t="shared" si="73"/>
        <v>3851348.9148426652</v>
      </c>
      <c r="BY29" s="58">
        <f t="shared" si="73"/>
        <v>3965371.7014787756</v>
      </c>
      <c r="BZ29" s="58">
        <f t="shared" si="73"/>
        <v>4078737.3392251031</v>
      </c>
      <c r="CA29" s="58">
        <f t="shared" si="73"/>
        <v>4188597.4655982559</v>
      </c>
      <c r="CB29" s="58">
        <f t="shared" si="73"/>
        <v>4295595.6357444655</v>
      </c>
      <c r="CC29" s="58">
        <f t="shared" si="73"/>
        <v>4396858.3684584647</v>
      </c>
      <c r="CD29" s="58">
        <f t="shared" si="73"/>
        <v>4471886.4912180686</v>
      </c>
      <c r="CE29" s="58">
        <f t="shared" si="73"/>
        <v>4554976.4503146121</v>
      </c>
      <c r="CF29" s="58">
        <f t="shared" si="73"/>
        <v>4635552.6732571442</v>
      </c>
      <c r="CG29" s="58">
        <f t="shared" si="73"/>
        <v>4714194.1957217446</v>
      </c>
      <c r="CH29" s="58">
        <f t="shared" si="73"/>
        <v>4791794.3816167982</v>
      </c>
      <c r="CI29" s="121">
        <f t="shared" si="73"/>
        <v>4870030.9199422728</v>
      </c>
      <c r="CJ29" s="134"/>
    </row>
    <row r="30" spans="1:88" x14ac:dyDescent="0.3">
      <c r="A30" s="33"/>
      <c r="B30" s="68"/>
      <c r="C30" s="21" t="s">
        <v>19</v>
      </c>
      <c r="D30" s="22" t="str">
        <f>IFERROR(INDEX('I2015'!B$5:B$73,MATCH($C30,'I2015'!$A$5:$A$73,0)),"")</f>
        <v/>
      </c>
      <c r="E30" s="22" t="str">
        <f>IFERROR(INDEX('I2015'!C$5:C$73,MATCH($C30,'I2015'!$A$5:$A$73,0)),"")</f>
        <v/>
      </c>
      <c r="F30" s="22" t="str">
        <f>IFERROR(INDEX('I2015'!D$5:D$73,MATCH($C30,'I2015'!$A$5:$A$73,0)),"")</f>
        <v/>
      </c>
      <c r="G30" s="22" t="str">
        <f>IFERROR(INDEX('I2015'!E$5:E$73,MATCH($C30,'I2015'!$A$5:$A$73,0)),"")</f>
        <v/>
      </c>
      <c r="H30" s="22" t="str">
        <f>IFERROR(INDEX('I2015'!F$5:F$73,MATCH($C30,'I2015'!$A$5:$A$73,0)),"")</f>
        <v/>
      </c>
      <c r="I30" s="22" t="str">
        <f>IFERROR(INDEX('I2015'!G$5:G$73,MATCH($C30,'I2015'!$A$5:$A$73,0)),"")</f>
        <v/>
      </c>
      <c r="J30" s="22" t="str">
        <f>IFERROR(INDEX('I2015'!H$5:H$73,MATCH($C30,'I2015'!$A$5:$A$73,0)),"")</f>
        <v/>
      </c>
      <c r="K30" s="22" t="str">
        <f>IFERROR(INDEX('I2015'!I$5:I$73,MATCH($C30,'I2015'!$A$5:$A$73,0)),"")</f>
        <v/>
      </c>
      <c r="L30" s="22" t="str">
        <f>IFERROR(INDEX('I2015'!J$5:J$73,MATCH($C30,'I2015'!$A$5:$A$73,0)),"")</f>
        <v/>
      </c>
      <c r="M30" s="22" t="str">
        <f>IFERROR(INDEX('I2015'!K$5:K$73,MATCH($C30,'I2015'!$A$5:$A$73,0)),"")</f>
        <v/>
      </c>
      <c r="N30" s="22" t="str">
        <f>IFERROR(INDEX('I2015'!L$5:L$73,MATCH($C30,'I2015'!$A$5:$A$73,0)),"")</f>
        <v/>
      </c>
      <c r="O30" s="22" t="str">
        <f>IFERROR(INDEX('I2015'!M$5:M$73,MATCH($C30,'I2015'!$A$5:$A$73,0)),"")</f>
        <v/>
      </c>
      <c r="P30" s="22">
        <f>IFERROR(INDEX('I2016'!B$5:B$90,MATCH($C30,'I2016'!$A$5:$A$90,0)),"")</f>
        <v>-3543.57</v>
      </c>
      <c r="Q30" s="22">
        <f>IFERROR(INDEX('I2016'!C$5:C$90,MATCH($C30,'I2016'!$A$5:$A$90,0)),"")</f>
        <v>-4493.26</v>
      </c>
      <c r="R30" s="22">
        <f>IFERROR(INDEX('I2016'!D$5:D$90,MATCH($C30,'I2016'!$A$5:$A$90,0)),"")</f>
        <v>-4805.33</v>
      </c>
      <c r="S30" s="22">
        <f>IFERROR(INDEX('I2016'!E$5:E$90,MATCH($C30,'I2016'!$A$5:$A$90,0)),"")</f>
        <v>-6589.51</v>
      </c>
      <c r="T30" s="22">
        <f>IFERROR(INDEX('I2016'!F$5:F$90,MATCH($C30,'I2016'!$A$5:$A$90,0)),"")</f>
        <v>-11010.87</v>
      </c>
      <c r="U30" s="22">
        <f>IFERROR(INDEX('I2016'!G$5:G$90,MATCH($C30,'I2016'!$A$5:$A$90,0)),"")</f>
        <v>-12177.97</v>
      </c>
      <c r="V30" s="22">
        <f>IFERROR(INDEX('I2016'!H$5:H$90,MATCH($C30,'I2016'!$A$5:$A$90,0)),"")</f>
        <v>-19928.71</v>
      </c>
      <c r="W30" s="22">
        <f>IFERROR(INDEX('I2016'!I$5:I$90,MATCH($C30,'I2016'!$A$5:$A$90,0)),"")</f>
        <v>-9893.4699999999993</v>
      </c>
      <c r="X30" s="22">
        <f>IFERROR(INDEX('I2016'!J$5:J$90,MATCH($C30,'I2016'!$A$5:$A$90,0)),"")</f>
        <v>-13899.13</v>
      </c>
      <c r="Y30" s="22">
        <f>IFERROR(INDEX('I2016'!K$5:K$90,MATCH($C30,'I2016'!$A$5:$A$90,0)),"")</f>
        <v>-13005.85</v>
      </c>
      <c r="Z30" s="22">
        <f>IFERROR(INDEX('I2016'!L$5:L$90,MATCH($C30,'I2016'!$A$5:$A$90,0)),"")</f>
        <v>-12190.58</v>
      </c>
      <c r="AA30" s="22">
        <f>IFERROR(INDEX('I2016'!M$5:M$90,MATCH($C30,'I2016'!$A$5:$A$90,0)),"")</f>
        <v>-25067.32</v>
      </c>
      <c r="AB30" s="22">
        <f>IFERROR(INDEX('I2017'!B$5:B$96,MATCH($C30,'I2017'!$A$5:$A$96,0)),"")</f>
        <v>-34144.089999999997</v>
      </c>
      <c r="AC30" s="22">
        <f>IFERROR(INDEX('I2017'!C$5:C$96,MATCH($C30,'I2017'!$A$5:$A$96,0)),"")</f>
        <v>-12676</v>
      </c>
      <c r="AD30" s="22">
        <f>IFERROR(INDEX('I2017'!D$5:D$96,MATCH($C30,'I2017'!$A$5:$A$96,0)),"")</f>
        <v>-11720.35</v>
      </c>
      <c r="AE30" s="22">
        <f>IFERROR(INDEX('I2017'!E$5:E$96,MATCH($C30,'I2017'!$A$5:$A$96,0)),"")</f>
        <v>-12022.52</v>
      </c>
      <c r="AF30" s="22">
        <f>IFERROR(INDEX('I2017'!F$5:F$96,MATCH($C30,'I2017'!$A$5:$A$96,0)),"")</f>
        <v>-14894.6</v>
      </c>
      <c r="AG30" s="22">
        <f>IFERROR(INDEX('I2017'!G$5:G$96,MATCH($C30,'I2017'!$A$5:$A$96,0)),"")</f>
        <v>-22176.34</v>
      </c>
      <c r="AH30" s="22">
        <f>IFERROR(INDEX('I2017'!H$5:H$96,MATCH($C30,'I2017'!$A$5:$A$96,0)),"")</f>
        <v>-19754.36</v>
      </c>
      <c r="AI30" s="22">
        <f>IFERROR(INDEX('I2017'!I$5:I$96,MATCH($C30,'I2017'!$A$5:$A$96,0)),"")</f>
        <v>-21243.49</v>
      </c>
      <c r="AJ30" s="22">
        <f>IFERROR(INDEX('I2017'!J$5:J$96,MATCH($C30,'I2017'!$A$5:$A$96,0)),"")</f>
        <v>-24995</v>
      </c>
      <c r="AK30" s="22">
        <f>IFERROR(INDEX('I2017'!K$5:K$96,MATCH($C30,'I2017'!$A$5:$A$96,0)),"")</f>
        <v>-23676.89</v>
      </c>
      <c r="AL30" s="22">
        <f>IFERROR(INDEX('I2017'!L$5:L$96,MATCH($C30,'I2017'!$A$5:$A$96,0)),"")</f>
        <v>-24826.639999999999</v>
      </c>
      <c r="AM30" s="22">
        <f>IFERROR(INDEX('I2017'!M$5:M$96,MATCH($C30,'I2017'!$A$5:$A$96,0)),"")</f>
        <v>-47682.73</v>
      </c>
      <c r="AN30" s="22">
        <f>IFERROR(INDEX('I2018'!B$5:B$107,MATCH($C30,'I2018'!$A$5:$A$107,0)),"")</f>
        <v>-39047.24</v>
      </c>
      <c r="AO30" s="22">
        <f>IFERROR(INDEX('I2018'!C$5:C$107,MATCH($C30,'I2018'!$A$5:$A$107,0)),"")</f>
        <v>-32767.71</v>
      </c>
      <c r="AP30" s="22">
        <f>IFERROR(INDEX('I2018'!D$5:D$107,MATCH($C30,'I2018'!$A$5:$A$107,0)),"")</f>
        <v>-47704.21</v>
      </c>
      <c r="AQ30" s="22">
        <f>IFERROR(INDEX('I2018'!E$5:E$107,MATCH($C30,'I2018'!$A$5:$A$107,0)),"")</f>
        <v>-81341.09</v>
      </c>
      <c r="AR30" s="22">
        <f>IFERROR(INDEX('I2018'!F$5:F$107,MATCH($C30,'I2018'!$A$5:$A$107,0)),"")</f>
        <v>-93437.02</v>
      </c>
      <c r="AS30" s="22">
        <f>IFERROR(INDEX('I2018'!G$5:G$107,MATCH($C30,'I2018'!$A$5:$A$107,0)),"")</f>
        <v>-94124.96</v>
      </c>
      <c r="AT30" s="22">
        <f>IFERROR(INDEX('I2018'!H$5:H$107,MATCH($C30,'I2018'!$A$5:$A$107,0)),"")</f>
        <v>-97007.1</v>
      </c>
      <c r="AU30" s="22">
        <f>IFERROR(INDEX('I2018'!I$5:I$107,MATCH($C30,'I2018'!$A$5:$A$107,0)),"")</f>
        <v>-184709.1</v>
      </c>
      <c r="AV30" s="22">
        <f>IFERROR(INDEX('I2018'!J$5:J$107,MATCH($C30,'I2018'!$A$5:$A$107,0)),"")</f>
        <v>-180913.39</v>
      </c>
      <c r="AW30" s="22">
        <f>IFERROR(INDEX('I2018'!K$5:K$107,MATCH($C30,'I2018'!$A$5:$A$107,0)),"")</f>
        <v>-163672.56</v>
      </c>
      <c r="AX30" s="22">
        <f>IFERROR(INDEX('I2018'!L$5:L$107,MATCH($C30,'I2018'!$A$5:$A$107,0)),"")</f>
        <v>-205024.04</v>
      </c>
      <c r="AY30" s="22">
        <f>IFERROR(INDEX('I2018'!M$5:M$107,MATCH($C30,'I2018'!$A$5:$A$107,0)),"")</f>
        <v>-240028.64</v>
      </c>
      <c r="AZ30" s="22">
        <f>IFERROR(INDEX('I2019'!B$5:B$112,MATCH($C30,'I2019'!$A$5:$A$112,0)),"")</f>
        <v>-307329.12</v>
      </c>
      <c r="BA30" s="22">
        <f>IFERROR(INDEX('I2019'!C$5:C$112,MATCH($C30,'I2019'!$A$5:$A$112,0)),"")</f>
        <v>-201444.94</v>
      </c>
      <c r="BB30" s="22">
        <f>IFERROR(INDEX('I2019'!D$5:D$112,MATCH($C30,'I2019'!$A$5:$A$112,0)),"")</f>
        <v>-221840.73</v>
      </c>
      <c r="BC30" s="22">
        <f>IFERROR(INDEX('I2019'!E$5:E$112,MATCH($C30,'I2019'!$A$5:$A$112,0)),"")</f>
        <v>-239255.76</v>
      </c>
      <c r="BD30" s="22">
        <f>IFERROR(INDEX('I2019'!F$5:F$112,MATCH($C30,'I2019'!$A$5:$A$112,0)),"")</f>
        <v>-258005.41</v>
      </c>
      <c r="BE30" s="22">
        <f>IFERROR(INDEX('I2019'!G$5:G$112,MATCH($C30,'I2019'!$A$5:$A$112,0)),"")</f>
        <v>-252349.04</v>
      </c>
      <c r="BF30" s="22">
        <f>IFERROR(INDEX('I2019'!H$5:H$112,MATCH($C30,'I2019'!$A$5:$A$112,0)),"")</f>
        <v>-286820.96000000002</v>
      </c>
      <c r="BG30" s="22">
        <f>IFERROR(INDEX('I2019'!I$5:I$112,MATCH($C30,'I2019'!$A$5:$A$112,0)),"")</f>
        <v>-292067.25</v>
      </c>
      <c r="BH30" s="22">
        <f>IFERROR(INDEX('I2019'!J$5:J$112,MATCH($C30,'I2019'!$A$5:$A$112,0)),"")</f>
        <v>-282617</v>
      </c>
      <c r="BI30" s="22">
        <f>IFERROR(INDEX('I2019'!K$5:K$112,MATCH($C30,'I2019'!$A$5:$A$112,0)),"")</f>
        <v>-474209.88</v>
      </c>
      <c r="BJ30" s="22">
        <f>IFERROR(INDEX('I2019'!L$5:L$112,MATCH($C30,'I2019'!$A$5:$A$112,0)),"")</f>
        <v>-326285.34999999998</v>
      </c>
      <c r="BK30" s="22">
        <f>IFERROR(INDEX('I2019'!M$5:M$112,MATCH($C30,'I2019'!$A$5:$A$112,0)),"")</f>
        <v>-313324.44</v>
      </c>
      <c r="BL30" s="22">
        <f>IFERROR(INDEX('I2020'!B$5:B$113,MATCH($C30,'I2020'!$A$5:$A$113,0)),"")</f>
        <v>-371489.01</v>
      </c>
      <c r="BM30" s="22">
        <f>IFERROR(INDEX('I2020'!C$5:C$113,MATCH($C30,'I2020'!$A$5:$A$113,0)),"")</f>
        <v>-241971.03</v>
      </c>
      <c r="BN30" s="22">
        <f>IFERROR(INDEX('I2020'!D$5:D$113,MATCH($C30,'I2020'!$A$5:$A$113,0)),"")</f>
        <v>-265750.83</v>
      </c>
      <c r="BO30" s="22">
        <f>IFERROR(INDEX('I2020'!E$5:E$113,MATCH($C30,'I2020'!$A$5:$A$113,0)),"")</f>
        <v>-240045.95</v>
      </c>
      <c r="BP30" s="22">
        <f>IFERROR(INDEX('I2020'!F$5:F$113,MATCH($C30,'I2020'!$A$5:$A$113,0)),"")</f>
        <v>-238502.97</v>
      </c>
      <c r="BQ30" s="393">
        <f>IFERROR(INDEX('I2020'!G$5:G$113,MATCH($C30,'I2020'!$A$5:$A$113,0)),"")</f>
        <v>-517562.84</v>
      </c>
      <c r="BR30" s="59">
        <f t="shared" ref="BQ30:CI30" si="74">SUM(BF30:BQ30)/SUM(BF31:BQ31)*BR31</f>
        <v>-395494.09153228241</v>
      </c>
      <c r="BS30" s="59">
        <f t="shared" si="74"/>
        <v>-404490.99362487439</v>
      </c>
      <c r="BT30" s="59">
        <f t="shared" si="74"/>
        <v>-417739.61779156385</v>
      </c>
      <c r="BU30" s="59">
        <f t="shared" si="74"/>
        <v>-430057.82072645437</v>
      </c>
      <c r="BV30" s="59">
        <f t="shared" si="74"/>
        <v>-431892.19097509055</v>
      </c>
      <c r="BW30" s="59">
        <f t="shared" si="74"/>
        <v>-441374.58885553689</v>
      </c>
      <c r="BX30" s="59">
        <f t="shared" si="74"/>
        <v>-453930.25978294568</v>
      </c>
      <c r="BY30" s="59">
        <f t="shared" si="74"/>
        <v>-460546.51269817696</v>
      </c>
      <c r="BZ30" s="59">
        <f t="shared" si="74"/>
        <v>-476183.56949680857</v>
      </c>
      <c r="CA30" s="59">
        <f t="shared" si="74"/>
        <v>-495880.42683124729</v>
      </c>
      <c r="CB30" s="59">
        <f t="shared" si="74"/>
        <v>-518587.87140172004</v>
      </c>
      <c r="CC30" s="59">
        <f t="shared" si="74"/>
        <v>-540075.51165519352</v>
      </c>
      <c r="CD30" s="59">
        <f t="shared" si="74"/>
        <v>-538755.91076644091</v>
      </c>
      <c r="CE30" s="59">
        <f t="shared" si="74"/>
        <v>-548052.12651916337</v>
      </c>
      <c r="CF30" s="59">
        <f t="shared" si="74"/>
        <v>-556687.05689512752</v>
      </c>
      <c r="CG30" s="59">
        <f t="shared" si="74"/>
        <v>-564675.65294658754</v>
      </c>
      <c r="CH30" s="59">
        <f t="shared" si="74"/>
        <v>-572457.10696584824</v>
      </c>
      <c r="CI30" s="122">
        <f t="shared" si="74"/>
        <v>-581342.82318422303</v>
      </c>
      <c r="CJ30" s="134"/>
    </row>
    <row r="31" spans="1:88" x14ac:dyDescent="0.3">
      <c r="A31" s="33" t="s">
        <v>245</v>
      </c>
      <c r="B31" s="57">
        <v>43</v>
      </c>
      <c r="C31" s="25" t="s">
        <v>20</v>
      </c>
      <c r="D31" s="123">
        <f>IFERROR(INDEX('I2015'!B$5:B$73,MATCH($C31,'I2015'!$A$5:$A$73,0)),"")</f>
        <v>19400.8</v>
      </c>
      <c r="E31" s="123">
        <f>IFERROR(INDEX('I2015'!C$5:C$73,MATCH($C31,'I2015'!$A$5:$A$73,0)),"")</f>
        <v>14611.54</v>
      </c>
      <c r="F31" s="123">
        <f>IFERROR(INDEX('I2015'!D$5:D$73,MATCH($C31,'I2015'!$A$5:$A$73,0)),"")</f>
        <v>16342.97</v>
      </c>
      <c r="G31" s="123">
        <f>IFERROR(INDEX('I2015'!E$5:E$73,MATCH($C31,'I2015'!$A$5:$A$73,0)),"")</f>
        <v>19921.3</v>
      </c>
      <c r="H31" s="123">
        <f>IFERROR(INDEX('I2015'!F$5:F$73,MATCH($C31,'I2015'!$A$5:$A$73,0)),"")</f>
        <v>28289.79</v>
      </c>
      <c r="I31" s="123">
        <f>IFERROR(INDEX('I2015'!G$5:G$73,MATCH($C31,'I2015'!$A$5:$A$73,0)),"")</f>
        <v>23953.599999999999</v>
      </c>
      <c r="J31" s="123">
        <f>IFERROR(INDEX('I2015'!H$5:H$73,MATCH($C31,'I2015'!$A$5:$A$73,0)),"")</f>
        <v>30831.919999999998</v>
      </c>
      <c r="K31" s="123">
        <f>IFERROR(INDEX('I2015'!I$5:I$73,MATCH($C31,'I2015'!$A$5:$A$73,0)),"")</f>
        <v>39356.339999999997</v>
      </c>
      <c r="L31" s="123">
        <f>IFERROR(INDEX('I2015'!J$5:J$73,MATCH($C31,'I2015'!$A$5:$A$73,0)),"")</f>
        <v>49359.96</v>
      </c>
      <c r="M31" s="123">
        <f>IFERROR(INDEX('I2015'!K$5:K$73,MATCH($C31,'I2015'!$A$5:$A$73,0)),"")</f>
        <v>56308.639999999999</v>
      </c>
      <c r="N31" s="123">
        <f>IFERROR(INDEX('I2015'!L$5:L$73,MATCH($C31,'I2015'!$A$5:$A$73,0)),"")</f>
        <v>56091.96</v>
      </c>
      <c r="O31" s="123">
        <f>IFERROR(INDEX('I2015'!M$5:M$73,MATCH($C31,'I2015'!$A$5:$A$73,0)),"")</f>
        <v>61498.73</v>
      </c>
      <c r="P31" s="123">
        <f>IFERROR(INDEX('I2016'!B$5:B$90,MATCH($C31,'I2016'!$A$5:$A$90,0)),"")</f>
        <v>74231.289999999994</v>
      </c>
      <c r="Q31" s="123">
        <f>IFERROR(INDEX('I2016'!C$5:C$90,MATCH($C31,'I2016'!$A$5:$A$90,0)),"")</f>
        <v>111341.44</v>
      </c>
      <c r="R31" s="123">
        <f>IFERROR(INDEX('I2016'!D$5:D$90,MATCH($C31,'I2016'!$A$5:$A$90,0)),"")</f>
        <v>106812.28</v>
      </c>
      <c r="S31" s="123">
        <f>IFERROR(INDEX('I2016'!E$5:E$90,MATCH($C31,'I2016'!$A$5:$A$90,0)),"")</f>
        <v>108036.85</v>
      </c>
      <c r="T31" s="123">
        <f>IFERROR(INDEX('I2016'!F$5:F$90,MATCH($C31,'I2016'!$A$5:$A$90,0)),"")</f>
        <v>100719.78</v>
      </c>
      <c r="U31" s="123">
        <f>IFERROR(INDEX('I2016'!G$5:G$90,MATCH($C31,'I2016'!$A$5:$A$90,0)),"")</f>
        <v>120872.01999999999</v>
      </c>
      <c r="V31" s="123">
        <f>IFERROR(INDEX('I2016'!H$5:H$90,MATCH($C31,'I2016'!$A$5:$A$90,0)),"")</f>
        <v>105521.23000000001</v>
      </c>
      <c r="W31" s="123">
        <f>IFERROR(INDEX('I2016'!I$5:I$90,MATCH($C31,'I2016'!$A$5:$A$90,0)),"")</f>
        <v>128787.70999999999</v>
      </c>
      <c r="X31" s="123">
        <f>IFERROR(INDEX('I2016'!J$5:J$90,MATCH($C31,'I2016'!$A$5:$A$90,0)),"")</f>
        <v>123842.54000000001</v>
      </c>
      <c r="Y31" s="123">
        <f>IFERROR(INDEX('I2016'!K$5:K$90,MATCH($C31,'I2016'!$A$5:$A$90,0)),"")</f>
        <v>137490.04</v>
      </c>
      <c r="Z31" s="123">
        <f>IFERROR(INDEX('I2016'!L$5:L$90,MATCH($C31,'I2016'!$A$5:$A$90,0)),"")</f>
        <v>148710.19</v>
      </c>
      <c r="AA31" s="123">
        <f>IFERROR(INDEX('I2016'!M$5:M$90,MATCH($C31,'I2016'!$A$5:$A$90,0)),"")</f>
        <v>141752.38999999998</v>
      </c>
      <c r="AB31" s="123">
        <f>IFERROR(INDEX('I2017'!B$5:B$96,MATCH($C31,'I2017'!$A$5:$A$96,0)),"")</f>
        <v>141335.79</v>
      </c>
      <c r="AC31" s="123">
        <f>IFERROR(INDEX('I2017'!C$5:C$96,MATCH($C31,'I2017'!$A$5:$A$96,0)),"")</f>
        <v>158260.17000000001</v>
      </c>
      <c r="AD31" s="123">
        <f>IFERROR(INDEX('I2017'!D$5:D$96,MATCH($C31,'I2017'!$A$5:$A$96,0)),"")</f>
        <v>249889.00999999998</v>
      </c>
      <c r="AE31" s="123">
        <f>IFERROR(INDEX('I2017'!E$5:E$96,MATCH($C31,'I2017'!$A$5:$A$96,0)),"")</f>
        <v>240448.56</v>
      </c>
      <c r="AF31" s="123">
        <f>IFERROR(INDEX('I2017'!F$5:F$96,MATCH($C31,'I2017'!$A$5:$A$96,0)),"")</f>
        <v>278614.69</v>
      </c>
      <c r="AG31" s="123">
        <f>IFERROR(INDEX('I2017'!G$5:G$96,MATCH($C31,'I2017'!$A$5:$A$96,0)),"")</f>
        <v>299018.81</v>
      </c>
      <c r="AH31" s="123">
        <f>IFERROR(INDEX('I2017'!H$5:H$96,MATCH($C31,'I2017'!$A$5:$A$96,0)),"")</f>
        <v>267086.33</v>
      </c>
      <c r="AI31" s="123">
        <f>IFERROR(INDEX('I2017'!I$5:I$96,MATCH($C31,'I2017'!$A$5:$A$96,0)),"")</f>
        <v>337682.35000000003</v>
      </c>
      <c r="AJ31" s="123">
        <f>IFERROR(INDEX('I2017'!J$5:J$96,MATCH($C31,'I2017'!$A$5:$A$96,0)),"")</f>
        <v>321473.09999999998</v>
      </c>
      <c r="AK31" s="123">
        <f>IFERROR(INDEX('I2017'!K$5:K$96,MATCH($C31,'I2017'!$A$5:$A$96,0)),"")</f>
        <v>311782.74</v>
      </c>
      <c r="AL31" s="123">
        <f>IFERROR(INDEX('I2017'!L$5:L$96,MATCH($C31,'I2017'!$A$5:$A$96,0)),"")</f>
        <v>382198.69</v>
      </c>
      <c r="AM31" s="123">
        <f>IFERROR(INDEX('I2017'!M$5:M$96,MATCH($C31,'I2017'!$A$5:$A$96,0)),"")</f>
        <v>342101.2</v>
      </c>
      <c r="AN31" s="123">
        <f>IFERROR(INDEX('I2018'!B$5:B$107,MATCH($C31,'I2018'!$A$5:$A$107,0)),"")</f>
        <v>410459.07</v>
      </c>
      <c r="AO31" s="123">
        <f>IFERROR(INDEX('I2018'!C$5:C$107,MATCH($C31,'I2018'!$A$5:$A$107,0)),"")</f>
        <v>379548.23</v>
      </c>
      <c r="AP31" s="123">
        <f>IFERROR(INDEX('I2018'!D$5:D$107,MATCH($C31,'I2018'!$A$5:$A$107,0)),"")</f>
        <v>640460.72000000009</v>
      </c>
      <c r="AQ31" s="123">
        <f>IFERROR(INDEX('I2018'!E$5:E$107,MATCH($C31,'I2018'!$A$5:$A$107,0)),"")</f>
        <v>1039581.43</v>
      </c>
      <c r="AR31" s="123">
        <f>IFERROR(INDEX('I2018'!F$5:F$107,MATCH($C31,'I2018'!$A$5:$A$107,0)),"")</f>
        <v>1066513.7</v>
      </c>
      <c r="AS31" s="123">
        <f>IFERROR(INDEX('I2018'!G$5:G$107,MATCH($C31,'I2018'!$A$5:$A$107,0)),"")</f>
        <v>1007206.96</v>
      </c>
      <c r="AT31" s="123">
        <f>IFERROR(INDEX('I2018'!H$5:H$107,MATCH($C31,'I2018'!$A$5:$A$107,0)),"")</f>
        <v>1180193.4099999999</v>
      </c>
      <c r="AU31" s="123">
        <f>IFERROR(INDEX('I2018'!I$5:I$107,MATCH($C31,'I2018'!$A$5:$A$107,0)),"")</f>
        <v>1585456.96</v>
      </c>
      <c r="AV31" s="123">
        <f>IFERROR(INDEX('I2018'!J$5:J$107,MATCH($C31,'I2018'!$A$5:$A$107,0)),"")</f>
        <v>1403007.8399999999</v>
      </c>
      <c r="AW31" s="123">
        <f>IFERROR(INDEX('I2018'!K$5:K$107,MATCH($C31,'I2018'!$A$5:$A$107,0)),"")</f>
        <v>1778082.3199999998</v>
      </c>
      <c r="AX31" s="123">
        <f>IFERROR(INDEX('I2018'!L$5:L$107,MATCH($C31,'I2018'!$A$5:$A$107,0)),"")</f>
        <v>1709951.8399999999</v>
      </c>
      <c r="AY31" s="123">
        <f>IFERROR(INDEX('I2018'!M$5:M$107,MATCH($C31,'I2018'!$A$5:$A$107,0)),"")</f>
        <v>1671671.17</v>
      </c>
      <c r="AZ31" s="123">
        <f>IFERROR(INDEX('I2019'!B$5:B$112,MATCH($C31,'I2019'!$A$5:$A$112,0)),"")</f>
        <v>2054317.2399999998</v>
      </c>
      <c r="BA31" s="123">
        <f>IFERROR(INDEX('I2019'!C$5:C$112,MATCH($C31,'I2019'!$A$5:$A$112,0)),"")</f>
        <v>1878670.04</v>
      </c>
      <c r="BB31" s="123">
        <f>IFERROR(INDEX('I2019'!D$5:D$112,MATCH($C31,'I2019'!$A$5:$A$112,0)),"")</f>
        <v>2076468.4</v>
      </c>
      <c r="BC31" s="123">
        <f>IFERROR(INDEX('I2019'!E$5:E$112,MATCH($C31,'I2019'!$A$5:$A$112,0)),"")</f>
        <v>2093672.2499999998</v>
      </c>
      <c r="BD31" s="123">
        <f>IFERROR(INDEX('I2019'!F$5:F$112,MATCH($C31,'I2019'!$A$5:$A$112,0)),"")</f>
        <v>2221483.98</v>
      </c>
      <c r="BE31" s="123">
        <f>IFERROR(INDEX('I2019'!G$5:G$112,MATCH($C31,'I2019'!$A$5:$A$112,0)),"")</f>
        <v>1961756.5099999998</v>
      </c>
      <c r="BF31" s="123">
        <f>IFERROR(INDEX('I2019'!H$5:H$112,MATCH($C31,'I2019'!$A$5:$A$112,0)),"")</f>
        <v>2290840.13</v>
      </c>
      <c r="BG31" s="123">
        <f>IFERROR(INDEX('I2019'!I$5:I$112,MATCH($C31,'I2019'!$A$5:$A$112,0)),"")</f>
        <v>2321415.2400000002</v>
      </c>
      <c r="BH31" s="123">
        <f>IFERROR(INDEX('I2019'!J$5:J$112,MATCH($C31,'I2019'!$A$5:$A$112,0)),"")</f>
        <v>1922666.7400000002</v>
      </c>
      <c r="BI31" s="123">
        <f>IFERROR(INDEX('I2019'!K$5:K$112,MATCH($C31,'I2019'!$A$5:$A$112,0)),"")</f>
        <v>2352916.25</v>
      </c>
      <c r="BJ31" s="123">
        <f>IFERROR(INDEX('I2019'!L$5:L$112,MATCH($C31,'I2019'!$A$5:$A$112,0)),"")</f>
        <v>1732456.88</v>
      </c>
      <c r="BK31" s="123">
        <f>IFERROR(INDEX('I2019'!M$5:M$112,MATCH($C31,'I2019'!$A$5:$A$112,0)),"")</f>
        <v>2070298.46</v>
      </c>
      <c r="BL31" s="123">
        <f>IFERROR(INDEX('I2020'!B$5:B$113,MATCH($C31,'I2020'!$A$5:$A$113,0)),"")</f>
        <v>2217435.3099999996</v>
      </c>
      <c r="BM31" s="123">
        <f>IFERROR(INDEX('I2020'!C$5:C$113,MATCH($C31,'I2020'!$A$5:$A$113,0)),"")</f>
        <v>2051272.11</v>
      </c>
      <c r="BN31" s="123">
        <f>IFERROR(INDEX('I2020'!D$5:D$113,MATCH($C31,'I2020'!$A$5:$A$113,0)),"")</f>
        <v>2593007.48</v>
      </c>
      <c r="BO31" s="123">
        <f>IFERROR(INDEX('I2020'!E$5:E$113,MATCH($C31,'I2020'!$A$5:$A$113,0)),"")</f>
        <v>2632005.6999999997</v>
      </c>
      <c r="BP31" s="123">
        <f>IFERROR(INDEX('I2020'!F$5:F$113,MATCH($C31,'I2020'!$A$5:$A$113,0)),"")</f>
        <v>2510433.3899999997</v>
      </c>
      <c r="BQ31" s="394">
        <f>IFERROR(INDEX('I2020'!G$5:G$113,MATCH($C31,'I2020'!$A$5:$A$113,0)),"")</f>
        <v>2825774.75</v>
      </c>
      <c r="BR31" s="60">
        <f t="shared" ref="BQ31:CI31" si="75">$B$31*BR15</f>
        <v>2826590.5909683206</v>
      </c>
      <c r="BS31" s="60">
        <f t="shared" si="75"/>
        <v>2866277.0032010758</v>
      </c>
      <c r="BT31" s="60">
        <f t="shared" si="75"/>
        <v>2934326.4048128654</v>
      </c>
      <c r="BU31" s="60">
        <f t="shared" si="75"/>
        <v>3027244.2142374171</v>
      </c>
      <c r="BV31" s="60">
        <f t="shared" si="75"/>
        <v>3142365.4472002862</v>
      </c>
      <c r="BW31" s="60">
        <f t="shared" si="75"/>
        <v>3277696.6381192021</v>
      </c>
      <c r="BX31" s="60">
        <f t="shared" si="75"/>
        <v>3397418.6550597204</v>
      </c>
      <c r="BY31" s="60">
        <f t="shared" si="75"/>
        <v>3504825.1887805993</v>
      </c>
      <c r="BZ31" s="60">
        <f t="shared" si="75"/>
        <v>3602553.7697282955</v>
      </c>
      <c r="CA31" s="60">
        <f t="shared" si="75"/>
        <v>3692717.038767009</v>
      </c>
      <c r="CB31" s="60">
        <f t="shared" si="75"/>
        <v>3777007.7643427462</v>
      </c>
      <c r="CC31" s="60">
        <f t="shared" si="75"/>
        <v>3856782.8568032719</v>
      </c>
      <c r="CD31" s="60">
        <f t="shared" si="75"/>
        <v>3933130.5804516291</v>
      </c>
      <c r="CE31" s="60">
        <f t="shared" si="75"/>
        <v>4006924.3237954499</v>
      </c>
      <c r="CF31" s="60">
        <f t="shared" si="75"/>
        <v>4078865.616362019</v>
      </c>
      <c r="CG31" s="60">
        <f t="shared" si="75"/>
        <v>4149518.5427751583</v>
      </c>
      <c r="CH31" s="60">
        <f t="shared" si="75"/>
        <v>4219337.2746509528</v>
      </c>
      <c r="CI31" s="147">
        <f t="shared" si="75"/>
        <v>4288688.0967580518</v>
      </c>
      <c r="CJ31" s="287"/>
    </row>
    <row r="32" spans="1:88" x14ac:dyDescent="0.3">
      <c r="A32" s="33"/>
      <c r="B32" s="68"/>
      <c r="C32" s="76" t="s">
        <v>21</v>
      </c>
      <c r="D32" s="100">
        <f>IFERROR(INDEX('I2015'!B$5:B$73,MATCH($C32,'I2015'!$A$5:$A$73,0)),"")</f>
        <v>0</v>
      </c>
      <c r="E32" s="100">
        <f>IFERROR(INDEX('I2015'!C$5:C$73,MATCH($C32,'I2015'!$A$5:$A$73,0)),"")</f>
        <v>0</v>
      </c>
      <c r="F32" s="100">
        <f>IFERROR(INDEX('I2015'!D$5:D$73,MATCH($C32,'I2015'!$A$5:$A$73,0)),"")</f>
        <v>0</v>
      </c>
      <c r="G32" s="100">
        <f>IFERROR(INDEX('I2015'!E$5:E$73,MATCH($C32,'I2015'!$A$5:$A$73,0)),"")</f>
        <v>0</v>
      </c>
      <c r="H32" s="100">
        <f>IFERROR(INDEX('I2015'!F$5:F$73,MATCH($C32,'I2015'!$A$5:$A$73,0)),"")</f>
        <v>0</v>
      </c>
      <c r="I32" s="100">
        <f>IFERROR(INDEX('I2015'!G$5:G$73,MATCH($C32,'I2015'!$A$5:$A$73,0)),"")</f>
        <v>0</v>
      </c>
      <c r="J32" s="100">
        <f>IFERROR(INDEX('I2015'!H$5:H$73,MATCH($C32,'I2015'!$A$5:$A$73,0)),"")</f>
        <v>0</v>
      </c>
      <c r="K32" s="100">
        <f>IFERROR(INDEX('I2015'!I$5:I$73,MATCH($C32,'I2015'!$A$5:$A$73,0)),"")</f>
        <v>0</v>
      </c>
      <c r="L32" s="100">
        <f>IFERROR(INDEX('I2015'!J$5:J$73,MATCH($C32,'I2015'!$A$5:$A$73,0)),"")</f>
        <v>0</v>
      </c>
      <c r="M32" s="100">
        <f>IFERROR(INDEX('I2015'!K$5:K$73,MATCH($C32,'I2015'!$A$5:$A$73,0)),"")</f>
        <v>0</v>
      </c>
      <c r="N32" s="100">
        <f>IFERROR(INDEX('I2015'!L$5:L$73,MATCH($C32,'I2015'!$A$5:$A$73,0)),"")</f>
        <v>0</v>
      </c>
      <c r="O32" s="100">
        <f>IFERROR(INDEX('I2015'!M$5:M$73,MATCH($C32,'I2015'!$A$5:$A$73,0)),"")</f>
        <v>0</v>
      </c>
      <c r="P32" s="100">
        <f>IFERROR(INDEX('I2016'!B$5:B$90,MATCH($C32,'I2016'!$A$5:$A$90,0)),"")</f>
        <v>0</v>
      </c>
      <c r="Q32" s="100">
        <f>IFERROR(INDEX('I2016'!C$5:C$90,MATCH($C32,'I2016'!$A$5:$A$90,0)),"")</f>
        <v>0</v>
      </c>
      <c r="R32" s="100">
        <f>IFERROR(INDEX('I2016'!D$5:D$90,MATCH($C32,'I2016'!$A$5:$A$90,0)),"")</f>
        <v>0</v>
      </c>
      <c r="S32" s="100">
        <f>IFERROR(INDEX('I2016'!E$5:E$90,MATCH($C32,'I2016'!$A$5:$A$90,0)),"")</f>
        <v>0</v>
      </c>
      <c r="T32" s="100">
        <f>IFERROR(INDEX('I2016'!F$5:F$90,MATCH($C32,'I2016'!$A$5:$A$90,0)),"")</f>
        <v>0</v>
      </c>
      <c r="U32" s="100">
        <f>IFERROR(INDEX('I2016'!G$5:G$90,MATCH($C32,'I2016'!$A$5:$A$90,0)),"")</f>
        <v>0</v>
      </c>
      <c r="V32" s="100">
        <f>IFERROR(INDEX('I2016'!H$5:H$90,MATCH($C32,'I2016'!$A$5:$A$90,0)),"")</f>
        <v>0</v>
      </c>
      <c r="W32" s="100">
        <f>IFERROR(INDEX('I2016'!I$5:I$90,MATCH($C32,'I2016'!$A$5:$A$90,0)),"")</f>
        <v>0</v>
      </c>
      <c r="X32" s="100">
        <f>IFERROR(INDEX('I2016'!J$5:J$90,MATCH($C32,'I2016'!$A$5:$A$90,0)),"")</f>
        <v>0</v>
      </c>
      <c r="Y32" s="100">
        <f>IFERROR(INDEX('I2016'!K$5:K$90,MATCH($C32,'I2016'!$A$5:$A$90,0)),"")</f>
        <v>0</v>
      </c>
      <c r="Z32" s="100">
        <f>IFERROR(INDEX('I2016'!L$5:L$90,MATCH($C32,'I2016'!$A$5:$A$90,0)),"")</f>
        <v>0</v>
      </c>
      <c r="AA32" s="100">
        <f>IFERROR(INDEX('I2016'!M$5:M$90,MATCH($C32,'I2016'!$A$5:$A$90,0)),"")</f>
        <v>0</v>
      </c>
      <c r="AB32" s="100">
        <f>IFERROR(INDEX('I2017'!B$5:B$96,MATCH($C32,'I2017'!$A$5:$A$96,0)),"")</f>
        <v>0</v>
      </c>
      <c r="AC32" s="100">
        <f>IFERROR(INDEX('I2017'!C$5:C$96,MATCH($C32,'I2017'!$A$5:$A$96,0)),"")</f>
        <v>0</v>
      </c>
      <c r="AD32" s="100">
        <f>IFERROR(INDEX('I2017'!D$5:D$96,MATCH($C32,'I2017'!$A$5:$A$96,0)),"")</f>
        <v>0</v>
      </c>
      <c r="AE32" s="100">
        <f>IFERROR(INDEX('I2017'!E$5:E$96,MATCH($C32,'I2017'!$A$5:$A$96,0)),"")</f>
        <v>0</v>
      </c>
      <c r="AF32" s="100">
        <f>IFERROR(INDEX('I2017'!F$5:F$96,MATCH($C32,'I2017'!$A$5:$A$96,0)),"")</f>
        <v>0</v>
      </c>
      <c r="AG32" s="100">
        <f>IFERROR(INDEX('I2017'!G$5:G$96,MATCH($C32,'I2017'!$A$5:$A$96,0)),"")</f>
        <v>0</v>
      </c>
      <c r="AH32" s="100">
        <f>IFERROR(INDEX('I2017'!H$5:H$96,MATCH($C32,'I2017'!$A$5:$A$96,0)),"")</f>
        <v>0</v>
      </c>
      <c r="AI32" s="100">
        <f>IFERROR(INDEX('I2017'!I$5:I$96,MATCH($C32,'I2017'!$A$5:$A$96,0)),"")</f>
        <v>0</v>
      </c>
      <c r="AJ32" s="100">
        <f>IFERROR(INDEX('I2017'!J$5:J$96,MATCH($C32,'I2017'!$A$5:$A$96,0)),"")</f>
        <v>0</v>
      </c>
      <c r="AK32" s="100">
        <f>IFERROR(INDEX('I2017'!K$5:K$96,MATCH($C32,'I2017'!$A$5:$A$96,0)),"")</f>
        <v>0</v>
      </c>
      <c r="AL32" s="100">
        <f>IFERROR(INDEX('I2017'!L$5:L$96,MATCH($C32,'I2017'!$A$5:$A$96,0)),"")</f>
        <v>0</v>
      </c>
      <c r="AM32" s="100">
        <f>IFERROR(INDEX('I2017'!M$5:M$96,MATCH($C32,'I2017'!$A$5:$A$96,0)),"")</f>
        <v>0</v>
      </c>
      <c r="AN32" s="100">
        <f>IFERROR(INDEX('I2018'!B$5:B$107,MATCH($C32,'I2018'!$A$5:$A$107,0)),"")</f>
        <v>0</v>
      </c>
      <c r="AO32" s="100">
        <f>IFERROR(INDEX('I2018'!C$5:C$107,MATCH($C32,'I2018'!$A$5:$A$107,0)),"")</f>
        <v>0</v>
      </c>
      <c r="AP32" s="100">
        <f>IFERROR(INDEX('I2018'!D$5:D$107,MATCH($C32,'I2018'!$A$5:$A$107,0)),"")</f>
        <v>0</v>
      </c>
      <c r="AQ32" s="100">
        <f>IFERROR(INDEX('I2018'!E$5:E$107,MATCH($C32,'I2018'!$A$5:$A$107,0)),"")</f>
        <v>0</v>
      </c>
      <c r="AR32" s="100">
        <f>IFERROR(INDEX('I2018'!F$5:F$107,MATCH($C32,'I2018'!$A$5:$A$107,0)),"")</f>
        <v>0</v>
      </c>
      <c r="AS32" s="100">
        <f>IFERROR(INDEX('I2018'!G$5:G$107,MATCH($C32,'I2018'!$A$5:$A$107,0)),"")</f>
        <v>0</v>
      </c>
      <c r="AT32" s="100">
        <f>IFERROR(INDEX('I2018'!H$5:H$107,MATCH($C32,'I2018'!$A$5:$A$107,0)),"")</f>
        <v>0</v>
      </c>
      <c r="AU32" s="100">
        <f>IFERROR(INDEX('I2018'!I$5:I$107,MATCH($C32,'I2018'!$A$5:$A$107,0)),"")</f>
        <v>0</v>
      </c>
      <c r="AV32" s="100">
        <f>IFERROR(INDEX('I2018'!J$5:J$107,MATCH($C32,'I2018'!$A$5:$A$107,0)),"")</f>
        <v>0</v>
      </c>
      <c r="AW32" s="100">
        <f>IFERROR(INDEX('I2018'!K$5:K$107,MATCH($C32,'I2018'!$A$5:$A$107,0)),"")</f>
        <v>0</v>
      </c>
      <c r="AX32" s="100">
        <f>IFERROR(INDEX('I2018'!L$5:L$107,MATCH($C32,'I2018'!$A$5:$A$107,0)),"")</f>
        <v>0</v>
      </c>
      <c r="AY32" s="100">
        <f>IFERROR(INDEX('I2018'!M$5:M$107,MATCH($C32,'I2018'!$A$5:$A$107,0)),"")</f>
        <v>0</v>
      </c>
      <c r="AZ32" s="100">
        <f>IFERROR(INDEX('I2019'!B$5:B$112,MATCH($C32,'I2019'!$A$5:$A$112,0)),"")</f>
        <v>0</v>
      </c>
      <c r="BA32" s="100">
        <f>IFERROR(INDEX('I2019'!C$5:C$112,MATCH($C32,'I2019'!$A$5:$A$112,0)),"")</f>
        <v>0</v>
      </c>
      <c r="BB32" s="100">
        <f>IFERROR(INDEX('I2019'!D$5:D$112,MATCH($C32,'I2019'!$A$5:$A$112,0)),"")</f>
        <v>0</v>
      </c>
      <c r="BC32" s="100">
        <f>IFERROR(INDEX('I2019'!E$5:E$112,MATCH($C32,'I2019'!$A$5:$A$112,0)),"")</f>
        <v>0</v>
      </c>
      <c r="BD32" s="100">
        <f>IFERROR(INDEX('I2019'!F$5:F$112,MATCH($C32,'I2019'!$A$5:$A$112,0)),"")</f>
        <v>0</v>
      </c>
      <c r="BE32" s="100">
        <f>IFERROR(INDEX('I2019'!G$5:G$112,MATCH($C32,'I2019'!$A$5:$A$112,0)),"")</f>
        <v>0</v>
      </c>
      <c r="BF32" s="100">
        <f>IFERROR(INDEX('I2019'!H$5:H$112,MATCH($C32,'I2019'!$A$5:$A$112,0)),"")</f>
        <v>0</v>
      </c>
      <c r="BG32" s="100">
        <f>IFERROR(INDEX('I2019'!I$5:I$112,MATCH($C32,'I2019'!$A$5:$A$112,0)),"")</f>
        <v>0</v>
      </c>
      <c r="BH32" s="100">
        <f>IFERROR(INDEX('I2019'!J$5:J$112,MATCH($C32,'I2019'!$A$5:$A$112,0)),"")</f>
        <v>0</v>
      </c>
      <c r="BI32" s="100">
        <f>IFERROR(INDEX('I2019'!K$5:K$112,MATCH($C32,'I2019'!$A$5:$A$112,0)),"")</f>
        <v>0</v>
      </c>
      <c r="BJ32" s="100">
        <f>IFERROR(INDEX('I2019'!L$5:L$112,MATCH($C32,'I2019'!$A$5:$A$112,0)),"")</f>
        <v>0</v>
      </c>
      <c r="BK32" s="100">
        <f>IFERROR(INDEX('I2019'!M$5:M$112,MATCH($C32,'I2019'!$A$5:$A$112,0)),"")</f>
        <v>0</v>
      </c>
      <c r="BL32" s="100">
        <f>IFERROR(INDEX('I2020'!B$5:B$113,MATCH($C32,'I2020'!$A$5:$A$113,0)),"")</f>
        <v>0</v>
      </c>
      <c r="BM32" s="100">
        <f>IFERROR(INDEX('I2020'!C$5:C$113,MATCH($C32,'I2020'!$A$5:$A$113,0)),"")</f>
        <v>0</v>
      </c>
      <c r="BN32" s="100">
        <f>IFERROR(INDEX('I2020'!D$5:D$113,MATCH($C32,'I2020'!$A$5:$A$113,0)),"")</f>
        <v>0</v>
      </c>
      <c r="BO32" s="100">
        <f>IFERROR(INDEX('I2020'!E$5:E$113,MATCH($C32,'I2020'!$A$5:$A$113,0)),"")</f>
        <v>0</v>
      </c>
      <c r="BP32" s="100">
        <f>IFERROR(INDEX('I2020'!F$5:F$113,MATCH($C32,'I2020'!$A$5:$A$113,0)),"")</f>
        <v>0</v>
      </c>
      <c r="BQ32" s="395">
        <f>IFERROR(INDEX('I2020'!G$5:G$113,MATCH($C32,'I2020'!$A$5:$A$113,0)),"")</f>
        <v>0</v>
      </c>
      <c r="BR32" s="148"/>
      <c r="BS32" s="148"/>
      <c r="BT32" s="148"/>
      <c r="BU32" s="148"/>
      <c r="BV32" s="148"/>
      <c r="BW32" s="148"/>
      <c r="BX32" s="148"/>
      <c r="BY32" s="148"/>
      <c r="BZ32" s="148"/>
      <c r="CA32" s="148"/>
      <c r="CB32" s="148"/>
      <c r="CC32" s="148"/>
      <c r="CD32" s="148"/>
      <c r="CE32" s="148"/>
      <c r="CF32" s="148"/>
      <c r="CG32" s="148"/>
      <c r="CH32" s="148"/>
      <c r="CI32" s="149"/>
      <c r="CJ32" s="134"/>
    </row>
    <row r="33" spans="1:88" x14ac:dyDescent="0.3">
      <c r="A33" s="320" t="s">
        <v>246</v>
      </c>
      <c r="B33" s="323">
        <f>Dashboard!C11</f>
        <v>0.22</v>
      </c>
      <c r="C33" s="21" t="s">
        <v>22</v>
      </c>
      <c r="D33" s="102">
        <f>IFERROR(INDEX('I2015'!B$5:B$73,MATCH($C33,'I2015'!$A$5:$A$73,0)),"")</f>
        <v>3609.89</v>
      </c>
      <c r="E33" s="102">
        <f>IFERROR(INDEX('I2015'!C$5:C$73,MATCH($C33,'I2015'!$A$5:$A$73,0)),"")</f>
        <v>3537.63</v>
      </c>
      <c r="F33" s="102">
        <f>IFERROR(INDEX('I2015'!D$5:D$73,MATCH($C33,'I2015'!$A$5:$A$73,0)),"")</f>
        <v>3866.84</v>
      </c>
      <c r="G33" s="102">
        <f>IFERROR(INDEX('I2015'!E$5:E$73,MATCH($C33,'I2015'!$A$5:$A$73,0)),"")</f>
        <v>4344.43</v>
      </c>
      <c r="H33" s="102">
        <f>IFERROR(INDEX('I2015'!F$5:F$73,MATCH($C33,'I2015'!$A$5:$A$73,0)),"")</f>
        <v>5373.33</v>
      </c>
      <c r="I33" s="102">
        <f>IFERROR(INDEX('I2015'!G$5:G$73,MATCH($C33,'I2015'!$A$5:$A$73,0)),"")</f>
        <v>6788.74</v>
      </c>
      <c r="J33" s="102">
        <f>IFERROR(INDEX('I2015'!H$5:H$73,MATCH($C33,'I2015'!$A$5:$A$73,0)),"")</f>
        <v>5265.08</v>
      </c>
      <c r="K33" s="102">
        <f>IFERROR(INDEX('I2015'!I$5:I$73,MATCH($C33,'I2015'!$A$5:$A$73,0)),"")</f>
        <v>6519.54</v>
      </c>
      <c r="L33" s="102">
        <f>IFERROR(INDEX('I2015'!J$5:J$73,MATCH($C33,'I2015'!$A$5:$A$73,0)),"")</f>
        <v>6530.95</v>
      </c>
      <c r="M33" s="102">
        <f>IFERROR(INDEX('I2015'!K$5:K$73,MATCH($C33,'I2015'!$A$5:$A$73,0)),"")</f>
        <v>8697.58</v>
      </c>
      <c r="N33" s="102">
        <f>IFERROR(INDEX('I2015'!L$5:L$73,MATCH($C33,'I2015'!$A$5:$A$73,0)),"")</f>
        <v>9476.61</v>
      </c>
      <c r="O33" s="102">
        <f>IFERROR(INDEX('I2015'!M$5:M$73,MATCH($C33,'I2015'!$A$5:$A$73,0)),"")</f>
        <v>10888.81</v>
      </c>
      <c r="P33" s="102">
        <f>IFERROR(INDEX('I2016'!B$5:B$90,MATCH($C33,'I2016'!$A$5:$A$90,0)),"")</f>
        <v>14309.55</v>
      </c>
      <c r="Q33" s="102">
        <f>IFERROR(INDEX('I2016'!C$5:C$90,MATCH($C33,'I2016'!$A$5:$A$90,0)),"")</f>
        <v>21221.63</v>
      </c>
      <c r="R33" s="102">
        <f>IFERROR(INDEX('I2016'!D$5:D$90,MATCH($C33,'I2016'!$A$5:$A$90,0)),"")</f>
        <v>19060.25</v>
      </c>
      <c r="S33" s="102">
        <f>IFERROR(INDEX('I2016'!E$5:E$90,MATCH($C33,'I2016'!$A$5:$A$90,0)),"")</f>
        <v>21190.97</v>
      </c>
      <c r="T33" s="102">
        <f>IFERROR(INDEX('I2016'!F$5:F$90,MATCH($C33,'I2016'!$A$5:$A$90,0)),"")</f>
        <v>19622.36</v>
      </c>
      <c r="U33" s="102">
        <f>IFERROR(INDEX('I2016'!G$5:G$90,MATCH($C33,'I2016'!$A$5:$A$90,0)),"")</f>
        <v>23222.07</v>
      </c>
      <c r="V33" s="102">
        <f>IFERROR(INDEX('I2016'!H$5:H$90,MATCH($C33,'I2016'!$A$5:$A$90,0)),"")</f>
        <v>18035.259999999998</v>
      </c>
      <c r="W33" s="102">
        <f>IFERROR(INDEX('I2016'!I$5:I$90,MATCH($C33,'I2016'!$A$5:$A$90,0)),"")</f>
        <v>18939.22</v>
      </c>
      <c r="X33" s="102">
        <f>IFERROR(INDEX('I2016'!J$5:J$90,MATCH($C33,'I2016'!$A$5:$A$90,0)),"")</f>
        <v>17186.71</v>
      </c>
      <c r="Y33" s="102">
        <f>IFERROR(INDEX('I2016'!K$5:K$90,MATCH($C33,'I2016'!$A$5:$A$90,0)),"")</f>
        <v>29915.45</v>
      </c>
      <c r="Z33" s="102">
        <f>IFERROR(INDEX('I2016'!L$5:L$90,MATCH($C33,'I2016'!$A$5:$A$90,0)),"")</f>
        <v>22597.43</v>
      </c>
      <c r="AA33" s="102">
        <f>IFERROR(INDEX('I2016'!M$5:M$90,MATCH($C33,'I2016'!$A$5:$A$90,0)),"")</f>
        <v>20108.86</v>
      </c>
      <c r="AB33" s="102">
        <f>IFERROR(INDEX('I2017'!B$5:B$96,MATCH($C33,'I2017'!$A$5:$A$96,0)),"")</f>
        <v>26523.119999999999</v>
      </c>
      <c r="AC33" s="102">
        <f>IFERROR(INDEX('I2017'!C$5:C$96,MATCH($C33,'I2017'!$A$5:$A$96,0)),"")</f>
        <v>30740.42</v>
      </c>
      <c r="AD33" s="102">
        <f>IFERROR(INDEX('I2017'!D$5:D$96,MATCH($C33,'I2017'!$A$5:$A$96,0)),"")</f>
        <v>46988.43</v>
      </c>
      <c r="AE33" s="102">
        <f>IFERROR(INDEX('I2017'!E$5:E$96,MATCH($C33,'I2017'!$A$5:$A$96,0)),"")</f>
        <v>47224.39</v>
      </c>
      <c r="AF33" s="102">
        <f>IFERROR(INDEX('I2017'!F$5:F$96,MATCH($C33,'I2017'!$A$5:$A$96,0)),"")</f>
        <v>50759.19</v>
      </c>
      <c r="AG33" s="102">
        <f>IFERROR(INDEX('I2017'!G$5:G$96,MATCH($C33,'I2017'!$A$5:$A$96,0)),"")</f>
        <v>46558.65</v>
      </c>
      <c r="AH33" s="102">
        <f>IFERROR(INDEX('I2017'!H$5:H$96,MATCH($C33,'I2017'!$A$5:$A$96,0)),"")</f>
        <v>45516.45</v>
      </c>
      <c r="AI33" s="102">
        <f>IFERROR(INDEX('I2017'!I$5:I$96,MATCH($C33,'I2017'!$A$5:$A$96,0)),"")</f>
        <v>52236.19</v>
      </c>
      <c r="AJ33" s="102">
        <f>IFERROR(INDEX('I2017'!J$5:J$96,MATCH($C33,'I2017'!$A$5:$A$96,0)),"")</f>
        <v>52845.71</v>
      </c>
      <c r="AK33" s="102">
        <f>IFERROR(INDEX('I2017'!K$5:K$96,MATCH($C33,'I2017'!$A$5:$A$96,0)),"")</f>
        <v>59026.62</v>
      </c>
      <c r="AL33" s="102">
        <f>IFERROR(INDEX('I2017'!L$5:L$96,MATCH($C33,'I2017'!$A$5:$A$96,0)),"")</f>
        <v>54818.43</v>
      </c>
      <c r="AM33" s="102">
        <f>IFERROR(INDEX('I2017'!M$5:M$96,MATCH($C33,'I2017'!$A$5:$A$96,0)),"")</f>
        <v>56179.82</v>
      </c>
      <c r="AN33" s="102">
        <f>IFERROR(INDEX('I2018'!B$5:B$107,MATCH($C33,'I2018'!$A$5:$A$107,0)),"")</f>
        <v>78642.69</v>
      </c>
      <c r="AO33" s="102">
        <f>IFERROR(INDEX('I2018'!C$5:C$107,MATCH($C33,'I2018'!$A$5:$A$107,0)),"")</f>
        <v>73135.87</v>
      </c>
      <c r="AP33" s="102">
        <f>IFERROR(INDEX('I2018'!D$5:D$107,MATCH($C33,'I2018'!$A$5:$A$107,0)),"")</f>
        <v>186224.99</v>
      </c>
      <c r="AQ33" s="102">
        <f>IFERROR(INDEX('I2018'!E$5:E$107,MATCH($C33,'I2018'!$A$5:$A$107,0)),"")</f>
        <v>176057.59</v>
      </c>
      <c r="AR33" s="102">
        <f>IFERROR(INDEX('I2018'!F$5:F$107,MATCH($C33,'I2018'!$A$5:$A$107,0)),"")</f>
        <v>185814.41</v>
      </c>
      <c r="AS33" s="102">
        <f>IFERROR(INDEX('I2018'!G$5:G$107,MATCH($C33,'I2018'!$A$5:$A$107,0)),"")</f>
        <v>192956.42</v>
      </c>
      <c r="AT33" s="102">
        <f>IFERROR(INDEX('I2018'!H$5:H$107,MATCH($C33,'I2018'!$A$5:$A$107,0)),"")</f>
        <v>233379.79</v>
      </c>
      <c r="AU33" s="102">
        <f>IFERROR(INDEX('I2018'!I$5:I$107,MATCH($C33,'I2018'!$A$5:$A$107,0)),"")</f>
        <v>257793.8</v>
      </c>
      <c r="AV33" s="102">
        <f>IFERROR(INDEX('I2018'!J$5:J$107,MATCH($C33,'I2018'!$A$5:$A$107,0)),"")</f>
        <v>265581.24</v>
      </c>
      <c r="AW33" s="102">
        <f>IFERROR(INDEX('I2018'!K$5:K$107,MATCH($C33,'I2018'!$A$5:$A$107,0)),"")</f>
        <v>315974.93</v>
      </c>
      <c r="AX33" s="102">
        <f>IFERROR(INDEX('I2018'!L$5:L$107,MATCH($C33,'I2018'!$A$5:$A$107,0)),"")</f>
        <v>320480.44</v>
      </c>
      <c r="AY33" s="102">
        <f>IFERROR(INDEX('I2018'!M$5:M$107,MATCH($C33,'I2018'!$A$5:$A$107,0)),"")</f>
        <v>362452.91</v>
      </c>
      <c r="AZ33" s="102">
        <f>IFERROR(INDEX('I2019'!B$5:B$112,MATCH($C33,'I2019'!$A$5:$A$112,0)),"")</f>
        <v>401320.26</v>
      </c>
      <c r="BA33" s="102">
        <f>IFERROR(INDEX('I2019'!C$5:C$112,MATCH($C33,'I2019'!$A$5:$A$112,0)),"")</f>
        <v>398521.68</v>
      </c>
      <c r="BB33" s="102">
        <f>IFERROR(INDEX('I2019'!D$5:D$112,MATCH($C33,'I2019'!$A$5:$A$112,0)),"")</f>
        <v>430127.7</v>
      </c>
      <c r="BC33" s="102">
        <f>IFERROR(INDEX('I2019'!E$5:E$112,MATCH($C33,'I2019'!$A$5:$A$112,0)),"")</f>
        <v>480900.01</v>
      </c>
      <c r="BD33" s="102">
        <f>IFERROR(INDEX('I2019'!F$5:F$112,MATCH($C33,'I2019'!$A$5:$A$112,0)),"")</f>
        <v>445044.29</v>
      </c>
      <c r="BE33" s="102">
        <f>IFERROR(INDEX('I2019'!G$5:G$112,MATCH($C33,'I2019'!$A$5:$A$112,0)),"")</f>
        <v>433921.91</v>
      </c>
      <c r="BF33" s="102">
        <f>IFERROR(INDEX('I2019'!H$5:H$112,MATCH($C33,'I2019'!$A$5:$A$112,0)),"")</f>
        <v>462295.82</v>
      </c>
      <c r="BG33" s="102">
        <f>IFERROR(INDEX('I2019'!I$5:I$112,MATCH($C33,'I2019'!$A$5:$A$112,0)),"")</f>
        <v>508514.72</v>
      </c>
      <c r="BH33" s="102">
        <f>IFERROR(INDEX('I2019'!J$5:J$112,MATCH($C33,'I2019'!$A$5:$A$112,0)),"")</f>
        <v>473756.18</v>
      </c>
      <c r="BI33" s="102">
        <f>IFERROR(INDEX('I2019'!K$5:K$112,MATCH($C33,'I2019'!$A$5:$A$112,0)),"")</f>
        <v>488649.29</v>
      </c>
      <c r="BJ33" s="102">
        <f>IFERROR(INDEX('I2019'!L$5:L$112,MATCH($C33,'I2019'!$A$5:$A$112,0)),"")</f>
        <v>451653.65</v>
      </c>
      <c r="BK33" s="102">
        <f>IFERROR(INDEX('I2019'!M$5:M$112,MATCH($C33,'I2019'!$A$5:$A$112,0)),"")</f>
        <v>509193.41</v>
      </c>
      <c r="BL33" s="102">
        <f>IFERROR(INDEX('I2020'!B$5:B$113,MATCH($C33,'I2020'!$A$5:$A$113,0)),"")</f>
        <v>478987.47</v>
      </c>
      <c r="BM33" s="102">
        <f>IFERROR(INDEX('I2020'!C$5:C$113,MATCH($C33,'I2020'!$A$5:$A$113,0)),"")</f>
        <v>440405.6</v>
      </c>
      <c r="BN33" s="102">
        <f>IFERROR(INDEX('I2020'!D$5:D$113,MATCH($C33,'I2020'!$A$5:$A$113,0)),"")</f>
        <v>510733.4</v>
      </c>
      <c r="BO33" s="102">
        <f>IFERROR(INDEX('I2020'!E$5:E$113,MATCH($C33,'I2020'!$A$5:$A$113,0)),"")</f>
        <v>455216.79</v>
      </c>
      <c r="BP33" s="102">
        <f>IFERROR(INDEX('I2020'!F$5:F$113,MATCH($C33,'I2020'!$A$5:$A$113,0)),"")</f>
        <v>480841.88</v>
      </c>
      <c r="BQ33" s="392">
        <f>IFERROR(INDEX('I2020'!G$5:G$113,MATCH($C33,'I2020'!$A$5:$A$113,0)),"")</f>
        <v>586275.13</v>
      </c>
      <c r="BR33" s="64">
        <f t="shared" ref="BQ33:CI34" si="76">$B33*BR$31</f>
        <v>621849.93001303053</v>
      </c>
      <c r="BS33" s="64">
        <f t="shared" si="76"/>
        <v>630580.94070423674</v>
      </c>
      <c r="BT33" s="64">
        <f t="shared" si="76"/>
        <v>645551.80905883037</v>
      </c>
      <c r="BU33" s="64">
        <f t="shared" si="76"/>
        <v>665993.72713223181</v>
      </c>
      <c r="BV33" s="64">
        <f t="shared" si="76"/>
        <v>691320.39838406292</v>
      </c>
      <c r="BW33" s="64">
        <f t="shared" si="76"/>
        <v>721093.26038622449</v>
      </c>
      <c r="BX33" s="64">
        <f t="shared" si="76"/>
        <v>747432.10411313851</v>
      </c>
      <c r="BY33" s="64">
        <f t="shared" si="76"/>
        <v>771061.54153173184</v>
      </c>
      <c r="BZ33" s="64">
        <f t="shared" si="76"/>
        <v>792561.82934022497</v>
      </c>
      <c r="CA33" s="64">
        <f t="shared" si="76"/>
        <v>812397.748528742</v>
      </c>
      <c r="CB33" s="64">
        <f t="shared" si="76"/>
        <v>830941.70815540419</v>
      </c>
      <c r="CC33" s="64">
        <f t="shared" si="76"/>
        <v>848492.22849671985</v>
      </c>
      <c r="CD33" s="64">
        <f t="shared" si="76"/>
        <v>865288.72769935837</v>
      </c>
      <c r="CE33" s="64">
        <f t="shared" si="76"/>
        <v>881523.35123499902</v>
      </c>
      <c r="CF33" s="64">
        <f t="shared" si="76"/>
        <v>897350.4355996442</v>
      </c>
      <c r="CG33" s="64">
        <f t="shared" si="76"/>
        <v>912894.07941053482</v>
      </c>
      <c r="CH33" s="64">
        <f t="shared" si="76"/>
        <v>928254.20042320958</v>
      </c>
      <c r="CI33" s="124">
        <f t="shared" si="76"/>
        <v>943511.38128677139</v>
      </c>
      <c r="CJ33" s="138"/>
    </row>
    <row r="34" spans="1:88" x14ac:dyDescent="0.3">
      <c r="A34" s="33" t="s">
        <v>247</v>
      </c>
      <c r="B34" s="62">
        <v>0.03</v>
      </c>
      <c r="C34" s="21" t="s">
        <v>23</v>
      </c>
      <c r="D34" s="102" t="str">
        <f>IFERROR(INDEX('I2015'!B$5:B$73,MATCH($C34,'I2015'!$A$5:$A$73,0)),"")</f>
        <v/>
      </c>
      <c r="E34" s="102" t="str">
        <f>IFERROR(INDEX('I2015'!C$5:C$73,MATCH($C34,'I2015'!$A$5:$A$73,0)),"")</f>
        <v/>
      </c>
      <c r="F34" s="102" t="str">
        <f>IFERROR(INDEX('I2015'!D$5:D$73,MATCH($C34,'I2015'!$A$5:$A$73,0)),"")</f>
        <v/>
      </c>
      <c r="G34" s="102" t="str">
        <f>IFERROR(INDEX('I2015'!E$5:E$73,MATCH($C34,'I2015'!$A$5:$A$73,0)),"")</f>
        <v/>
      </c>
      <c r="H34" s="102" t="str">
        <f>IFERROR(INDEX('I2015'!F$5:F$73,MATCH($C34,'I2015'!$A$5:$A$73,0)),"")</f>
        <v/>
      </c>
      <c r="I34" s="102" t="str">
        <f>IFERROR(INDEX('I2015'!G$5:G$73,MATCH($C34,'I2015'!$A$5:$A$73,0)),"")</f>
        <v/>
      </c>
      <c r="J34" s="102" t="str">
        <f>IFERROR(INDEX('I2015'!H$5:H$73,MATCH($C34,'I2015'!$A$5:$A$73,0)),"")</f>
        <v/>
      </c>
      <c r="K34" s="102" t="str">
        <f>IFERROR(INDEX('I2015'!I$5:I$73,MATCH($C34,'I2015'!$A$5:$A$73,0)),"")</f>
        <v/>
      </c>
      <c r="L34" s="102" t="str">
        <f>IFERROR(INDEX('I2015'!J$5:J$73,MATCH($C34,'I2015'!$A$5:$A$73,0)),"")</f>
        <v/>
      </c>
      <c r="M34" s="102" t="str">
        <f>IFERROR(INDEX('I2015'!K$5:K$73,MATCH($C34,'I2015'!$A$5:$A$73,0)),"")</f>
        <v/>
      </c>
      <c r="N34" s="102" t="str">
        <f>IFERROR(INDEX('I2015'!L$5:L$73,MATCH($C34,'I2015'!$A$5:$A$73,0)),"")</f>
        <v/>
      </c>
      <c r="O34" s="102" t="str">
        <f>IFERROR(INDEX('I2015'!M$5:M$73,MATCH($C34,'I2015'!$A$5:$A$73,0)),"")</f>
        <v/>
      </c>
      <c r="P34" s="102" t="str">
        <f>IFERROR(INDEX('I2016'!B$5:B$90,MATCH($C34,'I2016'!$A$5:$A$90,0)),"")</f>
        <v/>
      </c>
      <c r="Q34" s="102" t="str">
        <f>IFERROR(INDEX('I2016'!C$5:C$90,MATCH($C34,'I2016'!$A$5:$A$90,0)),"")</f>
        <v/>
      </c>
      <c r="R34" s="102" t="str">
        <f>IFERROR(INDEX('I2016'!D$5:D$90,MATCH($C34,'I2016'!$A$5:$A$90,0)),"")</f>
        <v/>
      </c>
      <c r="S34" s="102" t="str">
        <f>IFERROR(INDEX('I2016'!E$5:E$90,MATCH($C34,'I2016'!$A$5:$A$90,0)),"")</f>
        <v/>
      </c>
      <c r="T34" s="102" t="str">
        <f>IFERROR(INDEX('I2016'!F$5:F$90,MATCH($C34,'I2016'!$A$5:$A$90,0)),"")</f>
        <v/>
      </c>
      <c r="U34" s="102" t="str">
        <f>IFERROR(INDEX('I2016'!G$5:G$90,MATCH($C34,'I2016'!$A$5:$A$90,0)),"")</f>
        <v/>
      </c>
      <c r="V34" s="102" t="str">
        <f>IFERROR(INDEX('I2016'!H$5:H$90,MATCH($C34,'I2016'!$A$5:$A$90,0)),"")</f>
        <v/>
      </c>
      <c r="W34" s="102" t="str">
        <f>IFERROR(INDEX('I2016'!I$5:I$90,MATCH($C34,'I2016'!$A$5:$A$90,0)),"")</f>
        <v/>
      </c>
      <c r="X34" s="102" t="str">
        <f>IFERROR(INDEX('I2016'!J$5:J$90,MATCH($C34,'I2016'!$A$5:$A$90,0)),"")</f>
        <v/>
      </c>
      <c r="Y34" s="102" t="str">
        <f>IFERROR(INDEX('I2016'!K$5:K$90,MATCH($C34,'I2016'!$A$5:$A$90,0)),"")</f>
        <v/>
      </c>
      <c r="Z34" s="102" t="str">
        <f>IFERROR(INDEX('I2016'!L$5:L$90,MATCH($C34,'I2016'!$A$5:$A$90,0)),"")</f>
        <v/>
      </c>
      <c r="AA34" s="102" t="str">
        <f>IFERROR(INDEX('I2016'!M$5:M$90,MATCH($C34,'I2016'!$A$5:$A$90,0)),"")</f>
        <v/>
      </c>
      <c r="AB34" s="102">
        <f>IFERROR(INDEX('I2017'!B$5:B$96,MATCH($C34,'I2017'!$A$5:$A$96,0)),"")</f>
        <v>5697.64</v>
      </c>
      <c r="AC34" s="102">
        <f>IFERROR(INDEX('I2017'!C$5:C$96,MATCH($C34,'I2017'!$A$5:$A$96,0)),"")</f>
        <v>6191.86</v>
      </c>
      <c r="AD34" s="102">
        <f>IFERROR(INDEX('I2017'!D$5:D$96,MATCH($C34,'I2017'!$A$5:$A$96,0)),"")</f>
        <v>9856.9699999999993</v>
      </c>
      <c r="AE34" s="102">
        <f>IFERROR(INDEX('I2017'!E$5:E$96,MATCH($C34,'I2017'!$A$5:$A$96,0)),"")</f>
        <v>9322.82</v>
      </c>
      <c r="AF34" s="102">
        <f>IFERROR(INDEX('I2017'!F$5:F$96,MATCH($C34,'I2017'!$A$5:$A$96,0)),"")</f>
        <v>11514.72</v>
      </c>
      <c r="AG34" s="102">
        <f>IFERROR(INDEX('I2017'!G$5:G$96,MATCH($C34,'I2017'!$A$5:$A$96,0)),"")</f>
        <v>11392.79</v>
      </c>
      <c r="AH34" s="102">
        <f>IFERROR(INDEX('I2017'!H$5:H$96,MATCH($C34,'I2017'!$A$5:$A$96,0)),"")</f>
        <v>10420.299999999999</v>
      </c>
      <c r="AI34" s="102">
        <f>IFERROR(INDEX('I2017'!I$5:I$96,MATCH($C34,'I2017'!$A$5:$A$96,0)),"")</f>
        <v>11423.05</v>
      </c>
      <c r="AJ34" s="102">
        <f>IFERROR(INDEX('I2017'!J$5:J$96,MATCH($C34,'I2017'!$A$5:$A$96,0)),"")</f>
        <v>12535.35</v>
      </c>
      <c r="AK34" s="102">
        <f>IFERROR(INDEX('I2017'!K$5:K$96,MATCH($C34,'I2017'!$A$5:$A$96,0)),"")</f>
        <v>11812.01</v>
      </c>
      <c r="AL34" s="102">
        <f>IFERROR(INDEX('I2017'!L$5:L$96,MATCH($C34,'I2017'!$A$5:$A$96,0)),"")</f>
        <v>14279.64</v>
      </c>
      <c r="AM34" s="102">
        <f>IFERROR(INDEX('I2017'!M$5:M$96,MATCH($C34,'I2017'!$A$5:$A$96,0)),"")</f>
        <v>13151.13</v>
      </c>
      <c r="AN34" s="102">
        <f>IFERROR(INDEX('I2018'!B$5:B$107,MATCH($C34,'I2018'!$A$5:$A$107,0)),"")</f>
        <v>15677.65</v>
      </c>
      <c r="AO34" s="102">
        <f>IFERROR(INDEX('I2018'!C$5:C$107,MATCH($C34,'I2018'!$A$5:$A$107,0)),"")</f>
        <v>14195.29</v>
      </c>
      <c r="AP34" s="102">
        <f>IFERROR(INDEX('I2018'!D$5:D$107,MATCH($C34,'I2018'!$A$5:$A$107,0)),"")</f>
        <v>24709.17</v>
      </c>
      <c r="AQ34" s="102">
        <f>IFERROR(INDEX('I2018'!E$5:E$107,MATCH($C34,'I2018'!$A$5:$A$107,0)),"")</f>
        <v>31196.400000000001</v>
      </c>
      <c r="AR34" s="102">
        <f>IFERROR(INDEX('I2018'!F$5:F$107,MATCH($C34,'I2018'!$A$5:$A$107,0)),"")</f>
        <v>35823.17</v>
      </c>
      <c r="AS34" s="102">
        <f>IFERROR(INDEX('I2018'!G$5:G$107,MATCH($C34,'I2018'!$A$5:$A$107,0)),"")</f>
        <v>38166.800000000003</v>
      </c>
      <c r="AT34" s="102">
        <f>IFERROR(INDEX('I2018'!H$5:H$107,MATCH($C34,'I2018'!$A$5:$A$107,0)),"")</f>
        <v>38674.83</v>
      </c>
      <c r="AU34" s="102">
        <f>IFERROR(INDEX('I2018'!I$5:I$107,MATCH($C34,'I2018'!$A$5:$A$107,0)),"")</f>
        <v>51896.78</v>
      </c>
      <c r="AV34" s="102">
        <f>IFERROR(INDEX('I2018'!J$5:J$107,MATCH($C34,'I2018'!$A$5:$A$107,0)),"")</f>
        <v>45592.54</v>
      </c>
      <c r="AW34" s="102">
        <f>IFERROR(INDEX('I2018'!K$5:K$107,MATCH($C34,'I2018'!$A$5:$A$107,0)),"")</f>
        <v>58390.17</v>
      </c>
      <c r="AX34" s="102">
        <f>IFERROR(INDEX('I2018'!L$5:L$107,MATCH($C34,'I2018'!$A$5:$A$107,0)),"")</f>
        <v>53932.3</v>
      </c>
      <c r="AY34" s="102">
        <f>IFERROR(INDEX('I2018'!M$5:M$107,MATCH($C34,'I2018'!$A$5:$A$107,0)),"")</f>
        <v>53978.11</v>
      </c>
      <c r="AZ34" s="102">
        <f>IFERROR(INDEX('I2019'!B$5:B$112,MATCH($C34,'I2019'!$A$5:$A$112,0)),"")</f>
        <v>67800.52</v>
      </c>
      <c r="BA34" s="102">
        <f>IFERROR(INDEX('I2019'!C$5:C$112,MATCH($C34,'I2019'!$A$5:$A$112,0)),"")</f>
        <v>60363.82</v>
      </c>
      <c r="BB34" s="102">
        <f>IFERROR(INDEX('I2019'!D$5:D$112,MATCH($C34,'I2019'!$A$5:$A$112,0)),"")</f>
        <v>66050.47</v>
      </c>
      <c r="BC34" s="102">
        <f>IFERROR(INDEX('I2019'!E$5:E$112,MATCH($C34,'I2019'!$A$5:$A$112,0)),"")</f>
        <v>65910.31</v>
      </c>
      <c r="BD34" s="102">
        <f>IFERROR(INDEX('I2019'!F$5:F$112,MATCH($C34,'I2019'!$A$5:$A$112,0)),"")</f>
        <v>70342.53</v>
      </c>
      <c r="BE34" s="102">
        <f>IFERROR(INDEX('I2019'!G$5:G$112,MATCH($C34,'I2019'!$A$5:$A$112,0)),"")</f>
        <v>62676.63</v>
      </c>
      <c r="BF34" s="102">
        <f>IFERROR(INDEX('I2019'!H$5:H$112,MATCH($C34,'I2019'!$A$5:$A$112,0)),"")</f>
        <v>75929.350000000006</v>
      </c>
      <c r="BG34" s="102">
        <f>IFERROR(INDEX('I2019'!I$5:I$112,MATCH($C34,'I2019'!$A$5:$A$112,0)),"")</f>
        <v>71508.990000000005</v>
      </c>
      <c r="BH34" s="102">
        <f>IFERROR(INDEX('I2019'!J$5:J$112,MATCH($C34,'I2019'!$A$5:$A$112,0)),"")</f>
        <v>62195.91</v>
      </c>
      <c r="BI34" s="102">
        <f>IFERROR(INDEX('I2019'!K$5:K$112,MATCH($C34,'I2019'!$A$5:$A$112,0)),"")</f>
        <v>79005.55</v>
      </c>
      <c r="BJ34" s="102">
        <f>IFERROR(INDEX('I2019'!L$5:L$112,MATCH($C34,'I2019'!$A$5:$A$112,0)),"")</f>
        <v>62040.9</v>
      </c>
      <c r="BK34" s="102">
        <f>IFERROR(INDEX('I2019'!M$5:M$112,MATCH($C34,'I2019'!$A$5:$A$112,0)),"")</f>
        <v>65890.53</v>
      </c>
      <c r="BL34" s="102">
        <f>IFERROR(INDEX('I2020'!B$5:B$113,MATCH($C34,'I2020'!$A$5:$A$113,0)),"")</f>
        <v>70873.820000000007</v>
      </c>
      <c r="BM34" s="102">
        <f>IFERROR(INDEX('I2020'!C$5:C$113,MATCH($C34,'I2020'!$A$5:$A$113,0)),"")</f>
        <v>66154.789999999994</v>
      </c>
      <c r="BN34" s="102">
        <f>IFERROR(INDEX('I2020'!D$5:D$113,MATCH($C34,'I2020'!$A$5:$A$113,0)),"")</f>
        <v>77209.89</v>
      </c>
      <c r="BO34" s="102">
        <f>IFERROR(INDEX('I2020'!E$5:E$113,MATCH($C34,'I2020'!$A$5:$A$113,0)),"")</f>
        <v>61537.95</v>
      </c>
      <c r="BP34" s="102">
        <f>IFERROR(INDEX('I2020'!F$5:F$113,MATCH($C34,'I2020'!$A$5:$A$113,0)),"")</f>
        <v>74751.17</v>
      </c>
      <c r="BQ34" s="392">
        <f>IFERROR(INDEX('I2020'!G$5:G$113,MATCH($C34,'I2020'!$A$5:$A$113,0)),"")</f>
        <v>88406.53</v>
      </c>
      <c r="BR34" s="64">
        <f t="shared" ref="BQ34:CA34" si="77">$B34*BR$31</f>
        <v>84797.717729049618</v>
      </c>
      <c r="BS34" s="64">
        <f t="shared" si="77"/>
        <v>85988.310096032277</v>
      </c>
      <c r="BT34" s="64">
        <f t="shared" si="77"/>
        <v>88029.792144385952</v>
      </c>
      <c r="BU34" s="64">
        <f t="shared" si="77"/>
        <v>90817.326427122505</v>
      </c>
      <c r="BV34" s="64">
        <f t="shared" si="77"/>
        <v>94270.963416008584</v>
      </c>
      <c r="BW34" s="64">
        <f t="shared" si="77"/>
        <v>98330.899143576054</v>
      </c>
      <c r="BX34" s="64">
        <f t="shared" si="77"/>
        <v>101922.55965179161</v>
      </c>
      <c r="BY34" s="64">
        <f t="shared" si="77"/>
        <v>105144.75566341798</v>
      </c>
      <c r="BZ34" s="64">
        <f t="shared" si="77"/>
        <v>108076.61309184886</v>
      </c>
      <c r="CA34" s="64">
        <f t="shared" si="77"/>
        <v>110781.51116301026</v>
      </c>
      <c r="CB34" s="64">
        <f t="shared" si="76"/>
        <v>113310.23293028238</v>
      </c>
      <c r="CC34" s="64">
        <f t="shared" si="76"/>
        <v>115703.48570409816</v>
      </c>
      <c r="CD34" s="64">
        <f t="shared" si="76"/>
        <v>117993.91741354887</v>
      </c>
      <c r="CE34" s="64">
        <f t="shared" si="76"/>
        <v>120207.72971386349</v>
      </c>
      <c r="CF34" s="64">
        <f t="shared" si="76"/>
        <v>122365.96849086057</v>
      </c>
      <c r="CG34" s="64">
        <f t="shared" si="76"/>
        <v>124485.55628325474</v>
      </c>
      <c r="CH34" s="64">
        <f t="shared" si="76"/>
        <v>126580.11823952857</v>
      </c>
      <c r="CI34" s="124">
        <f t="shared" si="76"/>
        <v>128660.64290274154</v>
      </c>
      <c r="CJ34" s="138"/>
    </row>
    <row r="35" spans="1:88" x14ac:dyDescent="0.3">
      <c r="A35" s="33"/>
      <c r="B35" s="63"/>
      <c r="C35" s="21" t="s">
        <v>24</v>
      </c>
      <c r="D35" s="102">
        <f>IFERROR(INDEX('I2015'!B$5:B$73,MATCH($C35,'I2015'!$A$5:$A$73,0)),"")</f>
        <v>0</v>
      </c>
      <c r="E35" s="102">
        <f>IFERROR(INDEX('I2015'!C$5:C$73,MATCH($C35,'I2015'!$A$5:$A$73,0)),"")</f>
        <v>0</v>
      </c>
      <c r="F35" s="102">
        <f>IFERROR(INDEX('I2015'!D$5:D$73,MATCH($C35,'I2015'!$A$5:$A$73,0)),"")</f>
        <v>0</v>
      </c>
      <c r="G35" s="102">
        <f>IFERROR(INDEX('I2015'!E$5:E$73,MATCH($C35,'I2015'!$A$5:$A$73,0)),"")</f>
        <v>0</v>
      </c>
      <c r="H35" s="102">
        <f>IFERROR(INDEX('I2015'!F$5:F$73,MATCH($C35,'I2015'!$A$5:$A$73,0)),"")</f>
        <v>0</v>
      </c>
      <c r="I35" s="102">
        <f>IFERROR(INDEX('I2015'!G$5:G$73,MATCH($C35,'I2015'!$A$5:$A$73,0)),"")</f>
        <v>0</v>
      </c>
      <c r="J35" s="102">
        <f>IFERROR(INDEX('I2015'!H$5:H$73,MATCH($C35,'I2015'!$A$5:$A$73,0)),"")</f>
        <v>0</v>
      </c>
      <c r="K35" s="102">
        <f>IFERROR(INDEX('I2015'!I$5:I$73,MATCH($C35,'I2015'!$A$5:$A$73,0)),"")</f>
        <v>0</v>
      </c>
      <c r="L35" s="102">
        <f>IFERROR(INDEX('I2015'!J$5:J$73,MATCH($C35,'I2015'!$A$5:$A$73,0)),"")</f>
        <v>0</v>
      </c>
      <c r="M35" s="102">
        <f>IFERROR(INDEX('I2015'!K$5:K$73,MATCH($C35,'I2015'!$A$5:$A$73,0)),"")</f>
        <v>0</v>
      </c>
      <c r="N35" s="102">
        <f>IFERROR(INDEX('I2015'!L$5:L$73,MATCH($C35,'I2015'!$A$5:$A$73,0)),"")</f>
        <v>0</v>
      </c>
      <c r="O35" s="102">
        <f>IFERROR(INDEX('I2015'!M$5:M$73,MATCH($C35,'I2015'!$A$5:$A$73,0)),"")</f>
        <v>0</v>
      </c>
      <c r="P35" s="102">
        <f>IFERROR(INDEX('I2016'!B$5:B$90,MATCH($C35,'I2016'!$A$5:$A$90,0)),"")</f>
        <v>0</v>
      </c>
      <c r="Q35" s="102">
        <f>IFERROR(INDEX('I2016'!C$5:C$90,MATCH($C35,'I2016'!$A$5:$A$90,0)),"")</f>
        <v>0</v>
      </c>
      <c r="R35" s="102">
        <f>IFERROR(INDEX('I2016'!D$5:D$90,MATCH($C35,'I2016'!$A$5:$A$90,0)),"")</f>
        <v>0</v>
      </c>
      <c r="S35" s="102">
        <f>IFERROR(INDEX('I2016'!E$5:E$90,MATCH($C35,'I2016'!$A$5:$A$90,0)),"")</f>
        <v>0</v>
      </c>
      <c r="T35" s="102">
        <f>IFERROR(INDEX('I2016'!F$5:F$90,MATCH($C35,'I2016'!$A$5:$A$90,0)),"")</f>
        <v>0</v>
      </c>
      <c r="U35" s="102">
        <f>IFERROR(INDEX('I2016'!G$5:G$90,MATCH($C35,'I2016'!$A$5:$A$90,0)),"")</f>
        <v>0</v>
      </c>
      <c r="V35" s="102">
        <f>IFERROR(INDEX('I2016'!H$5:H$90,MATCH($C35,'I2016'!$A$5:$A$90,0)),"")</f>
        <v>0</v>
      </c>
      <c r="W35" s="102">
        <f>IFERROR(INDEX('I2016'!I$5:I$90,MATCH($C35,'I2016'!$A$5:$A$90,0)),"")</f>
        <v>0</v>
      </c>
      <c r="X35" s="102">
        <f>IFERROR(INDEX('I2016'!J$5:J$90,MATCH($C35,'I2016'!$A$5:$A$90,0)),"")</f>
        <v>0</v>
      </c>
      <c r="Y35" s="102">
        <f>IFERROR(INDEX('I2016'!K$5:K$90,MATCH($C35,'I2016'!$A$5:$A$90,0)),"")</f>
        <v>0</v>
      </c>
      <c r="Z35" s="102">
        <f>IFERROR(INDEX('I2016'!L$5:L$90,MATCH($C35,'I2016'!$A$5:$A$90,0)),"")</f>
        <v>0</v>
      </c>
      <c r="AA35" s="102">
        <f>IFERROR(INDEX('I2016'!M$5:M$90,MATCH($C35,'I2016'!$A$5:$A$90,0)),"")</f>
        <v>0</v>
      </c>
      <c r="AB35" s="102">
        <f>IFERROR(INDEX('I2017'!B$5:B$96,MATCH($C35,'I2017'!$A$5:$A$96,0)),"")</f>
        <v>0</v>
      </c>
      <c r="AC35" s="102">
        <f>IFERROR(INDEX('I2017'!C$5:C$96,MATCH($C35,'I2017'!$A$5:$A$96,0)),"")</f>
        <v>0</v>
      </c>
      <c r="AD35" s="102">
        <f>IFERROR(INDEX('I2017'!D$5:D$96,MATCH($C35,'I2017'!$A$5:$A$96,0)),"")</f>
        <v>0</v>
      </c>
      <c r="AE35" s="102">
        <f>IFERROR(INDEX('I2017'!E$5:E$96,MATCH($C35,'I2017'!$A$5:$A$96,0)),"")</f>
        <v>0</v>
      </c>
      <c r="AF35" s="102">
        <f>IFERROR(INDEX('I2017'!F$5:F$96,MATCH($C35,'I2017'!$A$5:$A$96,0)),"")</f>
        <v>0</v>
      </c>
      <c r="AG35" s="102">
        <f>IFERROR(INDEX('I2017'!G$5:G$96,MATCH($C35,'I2017'!$A$5:$A$96,0)),"")</f>
        <v>0</v>
      </c>
      <c r="AH35" s="102">
        <f>IFERROR(INDEX('I2017'!H$5:H$96,MATCH($C35,'I2017'!$A$5:$A$96,0)),"")</f>
        <v>0</v>
      </c>
      <c r="AI35" s="102">
        <f>IFERROR(INDEX('I2017'!I$5:I$96,MATCH($C35,'I2017'!$A$5:$A$96,0)),"")</f>
        <v>0</v>
      </c>
      <c r="AJ35" s="102">
        <f>IFERROR(INDEX('I2017'!J$5:J$96,MATCH($C35,'I2017'!$A$5:$A$96,0)),"")</f>
        <v>0</v>
      </c>
      <c r="AK35" s="102">
        <f>IFERROR(INDEX('I2017'!K$5:K$96,MATCH($C35,'I2017'!$A$5:$A$96,0)),"")</f>
        <v>0</v>
      </c>
      <c r="AL35" s="102">
        <f>IFERROR(INDEX('I2017'!L$5:L$96,MATCH($C35,'I2017'!$A$5:$A$96,0)),"")</f>
        <v>0</v>
      </c>
      <c r="AM35" s="102">
        <f>IFERROR(INDEX('I2017'!M$5:M$96,MATCH($C35,'I2017'!$A$5:$A$96,0)),"")</f>
        <v>0</v>
      </c>
      <c r="AN35" s="102">
        <f>IFERROR(INDEX('I2018'!B$5:B$107,MATCH($C35,'I2018'!$A$5:$A$107,0)),"")</f>
        <v>0</v>
      </c>
      <c r="AO35" s="102">
        <f>IFERROR(INDEX('I2018'!C$5:C$107,MATCH($C35,'I2018'!$A$5:$A$107,0)),"")</f>
        <v>0</v>
      </c>
      <c r="AP35" s="102">
        <f>IFERROR(INDEX('I2018'!D$5:D$107,MATCH($C35,'I2018'!$A$5:$A$107,0)),"")</f>
        <v>0</v>
      </c>
      <c r="AQ35" s="102">
        <f>IFERROR(INDEX('I2018'!E$5:E$107,MATCH($C35,'I2018'!$A$5:$A$107,0)),"")</f>
        <v>0</v>
      </c>
      <c r="AR35" s="102">
        <f>IFERROR(INDEX('I2018'!F$5:F$107,MATCH($C35,'I2018'!$A$5:$A$107,0)),"")</f>
        <v>0</v>
      </c>
      <c r="AS35" s="102">
        <f>IFERROR(INDEX('I2018'!G$5:G$107,MATCH($C35,'I2018'!$A$5:$A$107,0)),"")</f>
        <v>0</v>
      </c>
      <c r="AT35" s="102">
        <f>IFERROR(INDEX('I2018'!H$5:H$107,MATCH($C35,'I2018'!$A$5:$A$107,0)),"")</f>
        <v>0</v>
      </c>
      <c r="AU35" s="102">
        <f>IFERROR(INDEX('I2018'!I$5:I$107,MATCH($C35,'I2018'!$A$5:$A$107,0)),"")</f>
        <v>0</v>
      </c>
      <c r="AV35" s="102">
        <f>IFERROR(INDEX('I2018'!J$5:J$107,MATCH($C35,'I2018'!$A$5:$A$107,0)),"")</f>
        <v>0</v>
      </c>
      <c r="AW35" s="102">
        <f>IFERROR(INDEX('I2018'!K$5:K$107,MATCH($C35,'I2018'!$A$5:$A$107,0)),"")</f>
        <v>0</v>
      </c>
      <c r="AX35" s="102">
        <f>IFERROR(INDEX('I2018'!L$5:L$107,MATCH($C35,'I2018'!$A$5:$A$107,0)),"")</f>
        <v>0</v>
      </c>
      <c r="AY35" s="102">
        <f>IFERROR(INDEX('I2018'!M$5:M$107,MATCH($C35,'I2018'!$A$5:$A$107,0)),"")</f>
        <v>0</v>
      </c>
      <c r="AZ35" s="102">
        <f>IFERROR(INDEX('I2019'!B$5:B$112,MATCH($C35,'I2019'!$A$5:$A$112,0)),"")</f>
        <v>0</v>
      </c>
      <c r="BA35" s="102">
        <f>IFERROR(INDEX('I2019'!C$5:C$112,MATCH($C35,'I2019'!$A$5:$A$112,0)),"")</f>
        <v>0</v>
      </c>
      <c r="BB35" s="102">
        <f>IFERROR(INDEX('I2019'!D$5:D$112,MATCH($C35,'I2019'!$A$5:$A$112,0)),"")</f>
        <v>0</v>
      </c>
      <c r="BC35" s="102">
        <f>IFERROR(INDEX('I2019'!E$5:E$112,MATCH($C35,'I2019'!$A$5:$A$112,0)),"")</f>
        <v>0</v>
      </c>
      <c r="BD35" s="102">
        <f>IFERROR(INDEX('I2019'!F$5:F$112,MATCH($C35,'I2019'!$A$5:$A$112,0)),"")</f>
        <v>0</v>
      </c>
      <c r="BE35" s="102">
        <f>IFERROR(INDEX('I2019'!G$5:G$112,MATCH($C35,'I2019'!$A$5:$A$112,0)),"")</f>
        <v>0</v>
      </c>
      <c r="BF35" s="102">
        <f>IFERROR(INDEX('I2019'!H$5:H$112,MATCH($C35,'I2019'!$A$5:$A$112,0)),"")</f>
        <v>0</v>
      </c>
      <c r="BG35" s="102">
        <f>IFERROR(INDEX('I2019'!I$5:I$112,MATCH($C35,'I2019'!$A$5:$A$112,0)),"")</f>
        <v>0</v>
      </c>
      <c r="BH35" s="102">
        <f>IFERROR(INDEX('I2019'!J$5:J$112,MATCH($C35,'I2019'!$A$5:$A$112,0)),"")</f>
        <v>0</v>
      </c>
      <c r="BI35" s="102">
        <f>IFERROR(INDEX('I2019'!K$5:K$112,MATCH($C35,'I2019'!$A$5:$A$112,0)),"")</f>
        <v>0</v>
      </c>
      <c r="BJ35" s="102">
        <f>IFERROR(INDEX('I2019'!L$5:L$112,MATCH($C35,'I2019'!$A$5:$A$112,0)),"")</f>
        <v>8528.5</v>
      </c>
      <c r="BK35" s="102">
        <f>IFERROR(INDEX('I2019'!M$5:M$112,MATCH($C35,'I2019'!$A$5:$A$112,0)),"")</f>
        <v>2845.6</v>
      </c>
      <c r="BL35" s="102">
        <f>IFERROR(INDEX('I2020'!B$5:B$113,MATCH($C35,'I2020'!$A$5:$A$113,0)),"")</f>
        <v>0</v>
      </c>
      <c r="BM35" s="102">
        <f>IFERROR(INDEX('I2020'!C$5:C$113,MATCH($C35,'I2020'!$A$5:$A$113,0)),"")</f>
        <v>0</v>
      </c>
      <c r="BN35" s="102">
        <f>IFERROR(INDEX('I2020'!D$5:D$113,MATCH($C35,'I2020'!$A$5:$A$113,0)),"")</f>
        <v>0</v>
      </c>
      <c r="BO35" s="102">
        <f>IFERROR(INDEX('I2020'!E$5:E$113,MATCH($C35,'I2020'!$A$5:$A$113,0)),"")</f>
        <v>0</v>
      </c>
      <c r="BP35" s="102">
        <f>IFERROR(INDEX('I2020'!F$5:F$113,MATCH($C35,'I2020'!$A$5:$A$113,0)),"")</f>
        <v>0</v>
      </c>
      <c r="BQ35" s="392">
        <f>IFERROR(INDEX('I2020'!G$5:G$113,MATCH($C35,'I2020'!$A$5:$A$113,0)),"")</f>
        <v>0</v>
      </c>
      <c r="BR35" s="64"/>
      <c r="BS35" s="64"/>
      <c r="BT35" s="64"/>
      <c r="BU35" s="64"/>
      <c r="BV35" s="64"/>
      <c r="BW35" s="64"/>
      <c r="BX35" s="64"/>
      <c r="BY35" s="64"/>
      <c r="BZ35" s="64"/>
      <c r="CA35" s="64"/>
      <c r="CB35" s="64"/>
      <c r="CC35" s="64"/>
      <c r="CD35" s="64"/>
      <c r="CE35" s="64"/>
      <c r="CF35" s="64"/>
      <c r="CG35" s="64"/>
      <c r="CH35" s="64"/>
      <c r="CI35" s="124"/>
      <c r="CJ35" s="138"/>
    </row>
    <row r="36" spans="1:88" x14ac:dyDescent="0.3">
      <c r="A36" s="165"/>
      <c r="B36" s="68"/>
      <c r="C36" s="21" t="s">
        <v>25</v>
      </c>
      <c r="D36" s="102" t="str">
        <f>IFERROR(INDEX('I2015'!B$5:B$73,MATCH($C36,'I2015'!$A$5:$A$73,0)),"")</f>
        <v/>
      </c>
      <c r="E36" s="102" t="str">
        <f>IFERROR(INDEX('I2015'!C$5:C$73,MATCH($C36,'I2015'!$A$5:$A$73,0)),"")</f>
        <v/>
      </c>
      <c r="F36" s="102" t="str">
        <f>IFERROR(INDEX('I2015'!D$5:D$73,MATCH($C36,'I2015'!$A$5:$A$73,0)),"")</f>
        <v/>
      </c>
      <c r="G36" s="102" t="str">
        <f>IFERROR(INDEX('I2015'!E$5:E$73,MATCH($C36,'I2015'!$A$5:$A$73,0)),"")</f>
        <v/>
      </c>
      <c r="H36" s="102" t="str">
        <f>IFERROR(INDEX('I2015'!F$5:F$73,MATCH($C36,'I2015'!$A$5:$A$73,0)),"")</f>
        <v/>
      </c>
      <c r="I36" s="102" t="str">
        <f>IFERROR(INDEX('I2015'!G$5:G$73,MATCH($C36,'I2015'!$A$5:$A$73,0)),"")</f>
        <v/>
      </c>
      <c r="J36" s="102" t="str">
        <f>IFERROR(INDEX('I2015'!H$5:H$73,MATCH($C36,'I2015'!$A$5:$A$73,0)),"")</f>
        <v/>
      </c>
      <c r="K36" s="102" t="str">
        <f>IFERROR(INDEX('I2015'!I$5:I$73,MATCH($C36,'I2015'!$A$5:$A$73,0)),"")</f>
        <v/>
      </c>
      <c r="L36" s="102" t="str">
        <f>IFERROR(INDEX('I2015'!J$5:J$73,MATCH($C36,'I2015'!$A$5:$A$73,0)),"")</f>
        <v/>
      </c>
      <c r="M36" s="102" t="str">
        <f>IFERROR(INDEX('I2015'!K$5:K$73,MATCH($C36,'I2015'!$A$5:$A$73,0)),"")</f>
        <v/>
      </c>
      <c r="N36" s="102" t="str">
        <f>IFERROR(INDEX('I2015'!L$5:L$73,MATCH($C36,'I2015'!$A$5:$A$73,0)),"")</f>
        <v/>
      </c>
      <c r="O36" s="102" t="str">
        <f>IFERROR(INDEX('I2015'!M$5:M$73,MATCH($C36,'I2015'!$A$5:$A$73,0)),"")</f>
        <v/>
      </c>
      <c r="P36" s="102" t="str">
        <f>IFERROR(INDEX('I2016'!B$5:B$90,MATCH($C36,'I2016'!$A$5:$A$90,0)),"")</f>
        <v/>
      </c>
      <c r="Q36" s="102" t="str">
        <f>IFERROR(INDEX('I2016'!C$5:C$90,MATCH($C36,'I2016'!$A$5:$A$90,0)),"")</f>
        <v/>
      </c>
      <c r="R36" s="102" t="str">
        <f>IFERROR(INDEX('I2016'!D$5:D$90,MATCH($C36,'I2016'!$A$5:$A$90,0)),"")</f>
        <v/>
      </c>
      <c r="S36" s="102" t="str">
        <f>IFERROR(INDEX('I2016'!E$5:E$90,MATCH($C36,'I2016'!$A$5:$A$90,0)),"")</f>
        <v/>
      </c>
      <c r="T36" s="102" t="str">
        <f>IFERROR(INDEX('I2016'!F$5:F$90,MATCH($C36,'I2016'!$A$5:$A$90,0)),"")</f>
        <v/>
      </c>
      <c r="U36" s="102" t="str">
        <f>IFERROR(INDEX('I2016'!G$5:G$90,MATCH($C36,'I2016'!$A$5:$A$90,0)),"")</f>
        <v/>
      </c>
      <c r="V36" s="102" t="str">
        <f>IFERROR(INDEX('I2016'!H$5:H$90,MATCH($C36,'I2016'!$A$5:$A$90,0)),"")</f>
        <v/>
      </c>
      <c r="W36" s="102" t="str">
        <f>IFERROR(INDEX('I2016'!I$5:I$90,MATCH($C36,'I2016'!$A$5:$A$90,0)),"")</f>
        <v/>
      </c>
      <c r="X36" s="102" t="str">
        <f>IFERROR(INDEX('I2016'!J$5:J$90,MATCH($C36,'I2016'!$A$5:$A$90,0)),"")</f>
        <v/>
      </c>
      <c r="Y36" s="102" t="str">
        <f>IFERROR(INDEX('I2016'!K$5:K$90,MATCH($C36,'I2016'!$A$5:$A$90,0)),"")</f>
        <v/>
      </c>
      <c r="Z36" s="102" t="str">
        <f>IFERROR(INDEX('I2016'!L$5:L$90,MATCH($C36,'I2016'!$A$5:$A$90,0)),"")</f>
        <v/>
      </c>
      <c r="AA36" s="102" t="str">
        <f>IFERROR(INDEX('I2016'!M$5:M$90,MATCH($C36,'I2016'!$A$5:$A$90,0)),"")</f>
        <v/>
      </c>
      <c r="AB36" s="102">
        <f>IFERROR(INDEX('I2017'!B$5:B$96,MATCH($C36,'I2017'!$A$5:$A$96,0)),"")</f>
        <v>20694.439999999999</v>
      </c>
      <c r="AC36" s="102">
        <f>IFERROR(INDEX('I2017'!C$5:C$96,MATCH($C36,'I2017'!$A$5:$A$96,0)),"")</f>
        <v>20221.490000000002</v>
      </c>
      <c r="AD36" s="102">
        <f>IFERROR(INDEX('I2017'!D$5:D$96,MATCH($C36,'I2017'!$A$5:$A$96,0)),"")</f>
        <v>33259.199999999997</v>
      </c>
      <c r="AE36" s="102">
        <f>IFERROR(INDEX('I2017'!E$5:E$96,MATCH($C36,'I2017'!$A$5:$A$96,0)),"")</f>
        <v>31384.400000000001</v>
      </c>
      <c r="AF36" s="102">
        <f>IFERROR(INDEX('I2017'!F$5:F$96,MATCH($C36,'I2017'!$A$5:$A$96,0)),"")</f>
        <v>33329.339999999997</v>
      </c>
      <c r="AG36" s="102">
        <f>IFERROR(INDEX('I2017'!G$5:G$96,MATCH($C36,'I2017'!$A$5:$A$96,0)),"")</f>
        <v>42767.6</v>
      </c>
      <c r="AH36" s="102">
        <f>IFERROR(INDEX('I2017'!H$5:H$96,MATCH($C36,'I2017'!$A$5:$A$96,0)),"")</f>
        <v>32441.55</v>
      </c>
      <c r="AI36" s="102">
        <f>IFERROR(INDEX('I2017'!I$5:I$96,MATCH($C36,'I2017'!$A$5:$A$96,0)),"")</f>
        <v>38853.08</v>
      </c>
      <c r="AJ36" s="102">
        <f>IFERROR(INDEX('I2017'!J$5:J$96,MATCH($C36,'I2017'!$A$5:$A$96,0)),"")</f>
        <v>53332.15</v>
      </c>
      <c r="AK36" s="102">
        <f>IFERROR(INDEX('I2017'!K$5:K$96,MATCH($C36,'I2017'!$A$5:$A$96,0)),"")</f>
        <v>43583.8</v>
      </c>
      <c r="AL36" s="102">
        <f>IFERROR(INDEX('I2017'!L$5:L$96,MATCH($C36,'I2017'!$A$5:$A$96,0)),"")</f>
        <v>44390.93</v>
      </c>
      <c r="AM36" s="102">
        <f>IFERROR(INDEX('I2017'!M$5:M$96,MATCH($C36,'I2017'!$A$5:$A$96,0)),"")</f>
        <v>58387.1</v>
      </c>
      <c r="AN36" s="102">
        <f>IFERROR(INDEX('I2018'!B$5:B$107,MATCH($C36,'I2018'!$A$5:$A$107,0)),"")</f>
        <v>46748.88</v>
      </c>
      <c r="AO36" s="102">
        <f>IFERROR(INDEX('I2018'!C$5:C$107,MATCH($C36,'I2018'!$A$5:$A$107,0)),"")</f>
        <v>47713.95</v>
      </c>
      <c r="AP36" s="102">
        <f>IFERROR(INDEX('I2018'!D$5:D$107,MATCH($C36,'I2018'!$A$5:$A$107,0)),"")</f>
        <v>94675.87</v>
      </c>
      <c r="AQ36" s="102">
        <f>IFERROR(INDEX('I2018'!E$5:E$107,MATCH($C36,'I2018'!$A$5:$A$107,0)),"")</f>
        <v>120959.77</v>
      </c>
      <c r="AR36" s="102">
        <f>IFERROR(INDEX('I2018'!F$5:F$107,MATCH($C36,'I2018'!$A$5:$A$107,0)),"")</f>
        <v>122366.25</v>
      </c>
      <c r="AS36" s="102">
        <f>IFERROR(INDEX('I2018'!G$5:G$107,MATCH($C36,'I2018'!$A$5:$A$107,0)),"")</f>
        <v>145891.32999999999</v>
      </c>
      <c r="AT36" s="102">
        <f>IFERROR(INDEX('I2018'!H$5:H$107,MATCH($C36,'I2018'!$A$5:$A$107,0)),"")</f>
        <v>155117.48000000001</v>
      </c>
      <c r="AU36" s="102">
        <f>IFERROR(INDEX('I2018'!I$5:I$107,MATCH($C36,'I2018'!$A$5:$A$107,0)),"")</f>
        <v>198613.68</v>
      </c>
      <c r="AV36" s="102">
        <f>IFERROR(INDEX('I2018'!J$5:J$107,MATCH($C36,'I2018'!$A$5:$A$107,0)),"")</f>
        <v>164258.57</v>
      </c>
      <c r="AW36" s="102">
        <f>IFERROR(INDEX('I2018'!K$5:K$107,MATCH($C36,'I2018'!$A$5:$A$107,0)),"")</f>
        <v>239210.2</v>
      </c>
      <c r="AX36" s="102">
        <f>IFERROR(INDEX('I2018'!L$5:L$107,MATCH($C36,'I2018'!$A$5:$A$107,0)),"")</f>
        <v>280121.90000000002</v>
      </c>
      <c r="AY36" s="102">
        <f>IFERROR(INDEX('I2018'!M$5:M$107,MATCH($C36,'I2018'!$A$5:$A$107,0)),"")</f>
        <v>239638.26</v>
      </c>
      <c r="AZ36" s="102">
        <f>IFERROR(INDEX('I2019'!B$5:B$112,MATCH($C36,'I2019'!$A$5:$A$112,0)),"")</f>
        <v>310615.87</v>
      </c>
      <c r="BA36" s="102">
        <f>IFERROR(INDEX('I2019'!C$5:C$112,MATCH($C36,'I2019'!$A$5:$A$112,0)),"")</f>
        <v>319229.06</v>
      </c>
      <c r="BB36" s="102">
        <f>IFERROR(INDEX('I2019'!D$5:D$112,MATCH($C36,'I2019'!$A$5:$A$112,0)),"")</f>
        <v>311369.21999999997</v>
      </c>
      <c r="BC36" s="102">
        <f>IFERROR(INDEX('I2019'!E$5:E$112,MATCH($C36,'I2019'!$A$5:$A$112,0)),"")</f>
        <v>275700.63</v>
      </c>
      <c r="BD36" s="102">
        <f>IFERROR(INDEX('I2019'!F$5:F$112,MATCH($C36,'I2019'!$A$5:$A$112,0)),"")</f>
        <v>258504.26</v>
      </c>
      <c r="BE36" s="102">
        <f>IFERROR(INDEX('I2019'!G$5:G$112,MATCH($C36,'I2019'!$A$5:$A$112,0)),"")</f>
        <v>324911.88</v>
      </c>
      <c r="BF36" s="102">
        <f>IFERROR(INDEX('I2019'!H$5:H$112,MATCH($C36,'I2019'!$A$5:$A$112,0)),"")</f>
        <v>263090.31</v>
      </c>
      <c r="BG36" s="102">
        <f>IFERROR(INDEX('I2019'!I$5:I$112,MATCH($C36,'I2019'!$A$5:$A$112,0)),"")</f>
        <v>237518.25</v>
      </c>
      <c r="BH36" s="102">
        <f>IFERROR(INDEX('I2019'!J$5:J$112,MATCH($C36,'I2019'!$A$5:$A$112,0)),"")</f>
        <v>17.899999999999999</v>
      </c>
      <c r="BI36" s="102">
        <f>IFERROR(INDEX('I2019'!K$5:K$112,MATCH($C36,'I2019'!$A$5:$A$112,0)),"")</f>
        <v>6.44</v>
      </c>
      <c r="BJ36" s="102">
        <f>IFERROR(INDEX('I2019'!L$5:L$112,MATCH($C36,'I2019'!$A$5:$A$112,0)),"")</f>
        <v>0</v>
      </c>
      <c r="BK36" s="102">
        <f>IFERROR(INDEX('I2019'!M$5:M$112,MATCH($C36,'I2019'!$A$5:$A$112,0)),"")</f>
        <v>0</v>
      </c>
      <c r="BL36" s="102">
        <f>IFERROR(INDEX('I2020'!B$5:B$113,MATCH($C36,'I2020'!$A$5:$A$113,0)),"")</f>
        <v>0</v>
      </c>
      <c r="BM36" s="102">
        <f>IFERROR(INDEX('I2020'!C$5:C$113,MATCH($C36,'I2020'!$A$5:$A$113,0)),"")</f>
        <v>0</v>
      </c>
      <c r="BN36" s="102">
        <f>IFERROR(INDEX('I2020'!D$5:D$113,MATCH($C36,'I2020'!$A$5:$A$113,0)),"")</f>
        <v>0</v>
      </c>
      <c r="BO36" s="102">
        <f>IFERROR(INDEX('I2020'!E$5:E$113,MATCH($C36,'I2020'!$A$5:$A$113,0)),"")</f>
        <v>0</v>
      </c>
      <c r="BP36" s="102">
        <f>IFERROR(INDEX('I2020'!F$5:F$113,MATCH($C36,'I2020'!$A$5:$A$113,0)),"")</f>
        <v>45.41</v>
      </c>
      <c r="BQ36" s="392">
        <f>IFERROR(INDEX('I2020'!G$5:G$113,MATCH($C36,'I2020'!$A$5:$A$113,0)),"")</f>
        <v>-3.62</v>
      </c>
      <c r="BR36" s="64"/>
      <c r="BS36" s="64"/>
      <c r="BT36" s="64"/>
      <c r="BU36" s="64"/>
      <c r="BV36" s="64"/>
      <c r="BW36" s="64"/>
      <c r="BX36" s="64"/>
      <c r="BY36" s="64"/>
      <c r="BZ36" s="64"/>
      <c r="CA36" s="64"/>
      <c r="CB36" s="64"/>
      <c r="CC36" s="64"/>
      <c r="CD36" s="64"/>
      <c r="CE36" s="64"/>
      <c r="CF36" s="64"/>
      <c r="CG36" s="64"/>
      <c r="CH36" s="64"/>
      <c r="CI36" s="124"/>
      <c r="CJ36" s="138"/>
    </row>
    <row r="37" spans="1:88" x14ac:dyDescent="0.3">
      <c r="A37" s="33"/>
      <c r="B37" s="68"/>
      <c r="C37" s="21" t="s">
        <v>26</v>
      </c>
      <c r="D37" s="102" t="str">
        <f>IFERROR(INDEX('I2015'!B$5:B$73,MATCH($C37,'I2015'!$A$5:$A$73,0)),"")</f>
        <v/>
      </c>
      <c r="E37" s="102" t="str">
        <f>IFERROR(INDEX('I2015'!C$5:C$73,MATCH($C37,'I2015'!$A$5:$A$73,0)),"")</f>
        <v/>
      </c>
      <c r="F37" s="102" t="str">
        <f>IFERROR(INDEX('I2015'!D$5:D$73,MATCH($C37,'I2015'!$A$5:$A$73,0)),"")</f>
        <v/>
      </c>
      <c r="G37" s="102" t="str">
        <f>IFERROR(INDEX('I2015'!E$5:E$73,MATCH($C37,'I2015'!$A$5:$A$73,0)),"")</f>
        <v/>
      </c>
      <c r="H37" s="102" t="str">
        <f>IFERROR(INDEX('I2015'!F$5:F$73,MATCH($C37,'I2015'!$A$5:$A$73,0)),"")</f>
        <v/>
      </c>
      <c r="I37" s="102" t="str">
        <f>IFERROR(INDEX('I2015'!G$5:G$73,MATCH($C37,'I2015'!$A$5:$A$73,0)),"")</f>
        <v/>
      </c>
      <c r="J37" s="102" t="str">
        <f>IFERROR(INDEX('I2015'!H$5:H$73,MATCH($C37,'I2015'!$A$5:$A$73,0)),"")</f>
        <v/>
      </c>
      <c r="K37" s="102" t="str">
        <f>IFERROR(INDEX('I2015'!I$5:I$73,MATCH($C37,'I2015'!$A$5:$A$73,0)),"")</f>
        <v/>
      </c>
      <c r="L37" s="102" t="str">
        <f>IFERROR(INDEX('I2015'!J$5:J$73,MATCH($C37,'I2015'!$A$5:$A$73,0)),"")</f>
        <v/>
      </c>
      <c r="M37" s="102" t="str">
        <f>IFERROR(INDEX('I2015'!K$5:K$73,MATCH($C37,'I2015'!$A$5:$A$73,0)),"")</f>
        <v/>
      </c>
      <c r="N37" s="102" t="str">
        <f>IFERROR(INDEX('I2015'!L$5:L$73,MATCH($C37,'I2015'!$A$5:$A$73,0)),"")</f>
        <v/>
      </c>
      <c r="O37" s="102" t="str">
        <f>IFERROR(INDEX('I2015'!M$5:M$73,MATCH($C37,'I2015'!$A$5:$A$73,0)),"")</f>
        <v/>
      </c>
      <c r="P37" s="102" t="str">
        <f>IFERROR(INDEX('I2016'!B$5:B$90,MATCH($C37,'I2016'!$A$5:$A$90,0)),"")</f>
        <v/>
      </c>
      <c r="Q37" s="102" t="str">
        <f>IFERROR(INDEX('I2016'!C$5:C$90,MATCH($C37,'I2016'!$A$5:$A$90,0)),"")</f>
        <v/>
      </c>
      <c r="R37" s="102" t="str">
        <f>IFERROR(INDEX('I2016'!D$5:D$90,MATCH($C37,'I2016'!$A$5:$A$90,0)),"")</f>
        <v/>
      </c>
      <c r="S37" s="102" t="str">
        <f>IFERROR(INDEX('I2016'!E$5:E$90,MATCH($C37,'I2016'!$A$5:$A$90,0)),"")</f>
        <v/>
      </c>
      <c r="T37" s="102" t="str">
        <f>IFERROR(INDEX('I2016'!F$5:F$90,MATCH($C37,'I2016'!$A$5:$A$90,0)),"")</f>
        <v/>
      </c>
      <c r="U37" s="102" t="str">
        <f>IFERROR(INDEX('I2016'!G$5:G$90,MATCH($C37,'I2016'!$A$5:$A$90,0)),"")</f>
        <v/>
      </c>
      <c r="V37" s="102" t="str">
        <f>IFERROR(INDEX('I2016'!H$5:H$90,MATCH($C37,'I2016'!$A$5:$A$90,0)),"")</f>
        <v/>
      </c>
      <c r="W37" s="102" t="str">
        <f>IFERROR(INDEX('I2016'!I$5:I$90,MATCH($C37,'I2016'!$A$5:$A$90,0)),"")</f>
        <v/>
      </c>
      <c r="X37" s="102" t="str">
        <f>IFERROR(INDEX('I2016'!J$5:J$90,MATCH($C37,'I2016'!$A$5:$A$90,0)),"")</f>
        <v/>
      </c>
      <c r="Y37" s="102" t="str">
        <f>IFERROR(INDEX('I2016'!K$5:K$90,MATCH($C37,'I2016'!$A$5:$A$90,0)),"")</f>
        <v/>
      </c>
      <c r="Z37" s="102" t="str">
        <f>IFERROR(INDEX('I2016'!L$5:L$90,MATCH($C37,'I2016'!$A$5:$A$90,0)),"")</f>
        <v/>
      </c>
      <c r="AA37" s="102" t="str">
        <f>IFERROR(INDEX('I2016'!M$5:M$90,MATCH($C37,'I2016'!$A$5:$A$90,0)),"")</f>
        <v/>
      </c>
      <c r="AB37" s="102">
        <f>IFERROR(INDEX('I2017'!B$5:B$96,MATCH($C37,'I2017'!$A$5:$A$96,0)),"")</f>
        <v>1656.2</v>
      </c>
      <c r="AC37" s="102">
        <f>IFERROR(INDEX('I2017'!C$5:C$96,MATCH($C37,'I2017'!$A$5:$A$96,0)),"")</f>
        <v>2272.9499999999998</v>
      </c>
      <c r="AD37" s="102">
        <f>IFERROR(INDEX('I2017'!D$5:D$96,MATCH($C37,'I2017'!$A$5:$A$96,0)),"")</f>
        <v>2347.4</v>
      </c>
      <c r="AE37" s="102">
        <f>IFERROR(INDEX('I2017'!E$5:E$96,MATCH($C37,'I2017'!$A$5:$A$96,0)),"")</f>
        <v>1357.8</v>
      </c>
      <c r="AF37" s="102">
        <f>IFERROR(INDEX('I2017'!F$5:F$96,MATCH($C37,'I2017'!$A$5:$A$96,0)),"")</f>
        <v>1815.25</v>
      </c>
      <c r="AG37" s="102">
        <f>IFERROR(INDEX('I2017'!G$5:G$96,MATCH($C37,'I2017'!$A$5:$A$96,0)),"")</f>
        <v>5463.2</v>
      </c>
      <c r="AH37" s="102">
        <f>IFERROR(INDEX('I2017'!H$5:H$96,MATCH($C37,'I2017'!$A$5:$A$96,0)),"")</f>
        <v>3484.75</v>
      </c>
      <c r="AI37" s="102">
        <f>IFERROR(INDEX('I2017'!I$5:I$96,MATCH($C37,'I2017'!$A$5:$A$96,0)),"")</f>
        <v>1604.2</v>
      </c>
      <c r="AJ37" s="102">
        <f>IFERROR(INDEX('I2017'!J$5:J$96,MATCH($C37,'I2017'!$A$5:$A$96,0)),"")</f>
        <v>4405.95</v>
      </c>
      <c r="AK37" s="102">
        <f>IFERROR(INDEX('I2017'!K$5:K$96,MATCH($C37,'I2017'!$A$5:$A$96,0)),"")</f>
        <v>6484.15</v>
      </c>
      <c r="AL37" s="102">
        <f>IFERROR(INDEX('I2017'!L$5:L$96,MATCH($C37,'I2017'!$A$5:$A$96,0)),"")</f>
        <v>4647.8500000000004</v>
      </c>
      <c r="AM37" s="102">
        <f>IFERROR(INDEX('I2017'!M$5:M$96,MATCH($C37,'I2017'!$A$5:$A$96,0)),"")</f>
        <v>29321.5</v>
      </c>
      <c r="AN37" s="102">
        <f>IFERROR(INDEX('I2018'!B$5:B$107,MATCH($C37,'I2018'!$A$5:$A$107,0)),"")</f>
        <v>52573.3</v>
      </c>
      <c r="AO37" s="102">
        <f>IFERROR(INDEX('I2018'!C$5:C$107,MATCH($C37,'I2018'!$A$5:$A$107,0)),"")</f>
        <v>50206.75</v>
      </c>
      <c r="AP37" s="102">
        <f>IFERROR(INDEX('I2018'!D$5:D$107,MATCH($C37,'I2018'!$A$5:$A$107,0)),"")</f>
        <v>87447.75</v>
      </c>
      <c r="AQ37" s="102">
        <f>IFERROR(INDEX('I2018'!E$5:E$107,MATCH($C37,'I2018'!$A$5:$A$107,0)),"")</f>
        <v>120167.25</v>
      </c>
      <c r="AR37" s="102">
        <f>IFERROR(INDEX('I2018'!F$5:F$107,MATCH($C37,'I2018'!$A$5:$A$107,0)),"")</f>
        <v>122833.25</v>
      </c>
      <c r="AS37" s="102">
        <f>IFERROR(INDEX('I2018'!G$5:G$107,MATCH($C37,'I2018'!$A$5:$A$107,0)),"")</f>
        <v>128485.2</v>
      </c>
      <c r="AT37" s="102">
        <f>IFERROR(INDEX('I2018'!H$5:H$107,MATCH($C37,'I2018'!$A$5:$A$107,0)),"")</f>
        <v>117704.2</v>
      </c>
      <c r="AU37" s="102">
        <f>IFERROR(INDEX('I2018'!I$5:I$107,MATCH($C37,'I2018'!$A$5:$A$107,0)),"")</f>
        <v>212435.7</v>
      </c>
      <c r="AV37" s="102">
        <f>IFERROR(INDEX('I2018'!J$5:J$107,MATCH($C37,'I2018'!$A$5:$A$107,0)),"")</f>
        <v>245122.2</v>
      </c>
      <c r="AW37" s="102">
        <f>IFERROR(INDEX('I2018'!K$5:K$107,MATCH($C37,'I2018'!$A$5:$A$107,0)),"")</f>
        <v>250984.45</v>
      </c>
      <c r="AX37" s="102">
        <f>IFERROR(INDEX('I2018'!L$5:L$107,MATCH($C37,'I2018'!$A$5:$A$107,0)),"")</f>
        <v>186460.45</v>
      </c>
      <c r="AY37" s="102">
        <f>IFERROR(INDEX('I2018'!M$5:M$107,MATCH($C37,'I2018'!$A$5:$A$107,0)),"")</f>
        <v>324134.7</v>
      </c>
      <c r="AZ37" s="102">
        <f>IFERROR(INDEX('I2019'!B$5:B$112,MATCH($C37,'I2019'!$A$5:$A$112,0)),"")</f>
        <v>330506.45</v>
      </c>
      <c r="BA37" s="102">
        <f>IFERROR(INDEX('I2019'!C$5:C$112,MATCH($C37,'I2019'!$A$5:$A$112,0)),"")</f>
        <v>214986.7</v>
      </c>
      <c r="BB37" s="102">
        <f>IFERROR(INDEX('I2019'!D$5:D$112,MATCH($C37,'I2019'!$A$5:$A$112,0)),"")</f>
        <v>151623.45000000001</v>
      </c>
      <c r="BC37" s="102">
        <f>IFERROR(INDEX('I2019'!E$5:E$112,MATCH($C37,'I2019'!$A$5:$A$112,0)),"")</f>
        <v>63185.45</v>
      </c>
      <c r="BD37" s="102">
        <f>IFERROR(INDEX('I2019'!F$5:F$112,MATCH($C37,'I2019'!$A$5:$A$112,0)),"")</f>
        <v>1267.7</v>
      </c>
      <c r="BE37" s="102">
        <f>IFERROR(INDEX('I2019'!G$5:G$112,MATCH($C37,'I2019'!$A$5:$A$112,0)),"")</f>
        <v>98.95</v>
      </c>
      <c r="BF37" s="102">
        <f>IFERROR(INDEX('I2019'!H$5:H$112,MATCH($C37,'I2019'!$A$5:$A$112,0)),"")</f>
        <v>84.95</v>
      </c>
      <c r="BG37" s="102">
        <f>IFERROR(INDEX('I2019'!I$5:I$112,MATCH($C37,'I2019'!$A$5:$A$112,0)),"")</f>
        <v>142.94999999999999</v>
      </c>
      <c r="BH37" s="102">
        <f>IFERROR(INDEX('I2019'!J$5:J$112,MATCH($C37,'I2019'!$A$5:$A$112,0)),"")</f>
        <v>88.2</v>
      </c>
      <c r="BI37" s="102">
        <f>IFERROR(INDEX('I2019'!K$5:K$112,MATCH($C37,'I2019'!$A$5:$A$112,0)),"")</f>
        <v>86.2</v>
      </c>
      <c r="BJ37" s="102">
        <f>IFERROR(INDEX('I2019'!L$5:L$112,MATCH($C37,'I2019'!$A$5:$A$112,0)),"")</f>
        <v>84.95</v>
      </c>
      <c r="BK37" s="102">
        <f>IFERROR(INDEX('I2019'!M$5:M$112,MATCH($C37,'I2019'!$A$5:$A$112,0)),"")</f>
        <v>85.2</v>
      </c>
      <c r="BL37" s="102">
        <f>IFERROR(INDEX('I2020'!B$5:B$113,MATCH($C37,'I2020'!$A$5:$A$113,0)),"")</f>
        <v>85.2</v>
      </c>
      <c r="BM37" s="102">
        <f>IFERROR(INDEX('I2020'!C$5:C$113,MATCH($C37,'I2020'!$A$5:$A$113,0)),"")</f>
        <v>84.95</v>
      </c>
      <c r="BN37" s="102">
        <f>IFERROR(INDEX('I2020'!D$5:D$113,MATCH($C37,'I2020'!$A$5:$A$113,0)),"")</f>
        <v>84.95</v>
      </c>
      <c r="BO37" s="102">
        <f>IFERROR(INDEX('I2020'!E$5:E$113,MATCH($C37,'I2020'!$A$5:$A$113,0)),"")</f>
        <v>84.95</v>
      </c>
      <c r="BP37" s="102">
        <f>IFERROR(INDEX('I2020'!F$5:F$113,MATCH($C37,'I2020'!$A$5:$A$113,0)),"")</f>
        <v>84.95</v>
      </c>
      <c r="BQ37" s="392">
        <f>IFERROR(INDEX('I2020'!G$5:G$113,MATCH($C37,'I2020'!$A$5:$A$113,0)),"")</f>
        <v>84.95</v>
      </c>
      <c r="BR37" s="64"/>
      <c r="BS37" s="64"/>
      <c r="BT37" s="64"/>
      <c r="BU37" s="64"/>
      <c r="BV37" s="64"/>
      <c r="BW37" s="64"/>
      <c r="BX37" s="64"/>
      <c r="BY37" s="64"/>
      <c r="BZ37" s="64"/>
      <c r="CA37" s="64"/>
      <c r="CB37" s="64"/>
      <c r="CC37" s="64"/>
      <c r="CD37" s="64"/>
      <c r="CE37" s="64"/>
      <c r="CF37" s="64"/>
      <c r="CG37" s="64"/>
      <c r="CH37" s="64"/>
      <c r="CI37" s="124"/>
      <c r="CJ37" s="138"/>
    </row>
    <row r="38" spans="1:88" x14ac:dyDescent="0.3">
      <c r="A38" s="33"/>
      <c r="B38" s="68"/>
      <c r="C38" s="21" t="s">
        <v>27</v>
      </c>
      <c r="D38" s="102" t="str">
        <f>IFERROR(INDEX('I2015'!B$5:B$73,MATCH($C38,'I2015'!$A$5:$A$73,0)),"")</f>
        <v/>
      </c>
      <c r="E38" s="102" t="str">
        <f>IFERROR(INDEX('I2015'!C$5:C$73,MATCH($C38,'I2015'!$A$5:$A$73,0)),"")</f>
        <v/>
      </c>
      <c r="F38" s="102" t="str">
        <f>IFERROR(INDEX('I2015'!D$5:D$73,MATCH($C38,'I2015'!$A$5:$A$73,0)),"")</f>
        <v/>
      </c>
      <c r="G38" s="102" t="str">
        <f>IFERROR(INDEX('I2015'!E$5:E$73,MATCH($C38,'I2015'!$A$5:$A$73,0)),"")</f>
        <v/>
      </c>
      <c r="H38" s="102" t="str">
        <f>IFERROR(INDEX('I2015'!F$5:F$73,MATCH($C38,'I2015'!$A$5:$A$73,0)),"")</f>
        <v/>
      </c>
      <c r="I38" s="102" t="str">
        <f>IFERROR(INDEX('I2015'!G$5:G$73,MATCH($C38,'I2015'!$A$5:$A$73,0)),"")</f>
        <v/>
      </c>
      <c r="J38" s="102" t="str">
        <f>IFERROR(INDEX('I2015'!H$5:H$73,MATCH($C38,'I2015'!$A$5:$A$73,0)),"")</f>
        <v/>
      </c>
      <c r="K38" s="102" t="str">
        <f>IFERROR(INDEX('I2015'!I$5:I$73,MATCH($C38,'I2015'!$A$5:$A$73,0)),"")</f>
        <v/>
      </c>
      <c r="L38" s="102" t="str">
        <f>IFERROR(INDEX('I2015'!J$5:J$73,MATCH($C38,'I2015'!$A$5:$A$73,0)),"")</f>
        <v/>
      </c>
      <c r="M38" s="102" t="str">
        <f>IFERROR(INDEX('I2015'!K$5:K$73,MATCH($C38,'I2015'!$A$5:$A$73,0)),"")</f>
        <v/>
      </c>
      <c r="N38" s="102" t="str">
        <f>IFERROR(INDEX('I2015'!L$5:L$73,MATCH($C38,'I2015'!$A$5:$A$73,0)),"")</f>
        <v/>
      </c>
      <c r="O38" s="102" t="str">
        <f>IFERROR(INDEX('I2015'!M$5:M$73,MATCH($C38,'I2015'!$A$5:$A$73,0)),"")</f>
        <v/>
      </c>
      <c r="P38" s="102" t="str">
        <f>IFERROR(INDEX('I2016'!B$5:B$90,MATCH($C38,'I2016'!$A$5:$A$90,0)),"")</f>
        <v/>
      </c>
      <c r="Q38" s="102" t="str">
        <f>IFERROR(INDEX('I2016'!C$5:C$90,MATCH($C38,'I2016'!$A$5:$A$90,0)),"")</f>
        <v/>
      </c>
      <c r="R38" s="102" t="str">
        <f>IFERROR(INDEX('I2016'!D$5:D$90,MATCH($C38,'I2016'!$A$5:$A$90,0)),"")</f>
        <v/>
      </c>
      <c r="S38" s="102" t="str">
        <f>IFERROR(INDEX('I2016'!E$5:E$90,MATCH($C38,'I2016'!$A$5:$A$90,0)),"")</f>
        <v/>
      </c>
      <c r="T38" s="102" t="str">
        <f>IFERROR(INDEX('I2016'!F$5:F$90,MATCH($C38,'I2016'!$A$5:$A$90,0)),"")</f>
        <v/>
      </c>
      <c r="U38" s="102" t="str">
        <f>IFERROR(INDEX('I2016'!G$5:G$90,MATCH($C38,'I2016'!$A$5:$A$90,0)),"")</f>
        <v/>
      </c>
      <c r="V38" s="102" t="str">
        <f>IFERROR(INDEX('I2016'!H$5:H$90,MATCH($C38,'I2016'!$A$5:$A$90,0)),"")</f>
        <v/>
      </c>
      <c r="W38" s="102" t="str">
        <f>IFERROR(INDEX('I2016'!I$5:I$90,MATCH($C38,'I2016'!$A$5:$A$90,0)),"")</f>
        <v/>
      </c>
      <c r="X38" s="102" t="str">
        <f>IFERROR(INDEX('I2016'!J$5:J$90,MATCH($C38,'I2016'!$A$5:$A$90,0)),"")</f>
        <v/>
      </c>
      <c r="Y38" s="102" t="str">
        <f>IFERROR(INDEX('I2016'!K$5:K$90,MATCH($C38,'I2016'!$A$5:$A$90,0)),"")</f>
        <v/>
      </c>
      <c r="Z38" s="102" t="str">
        <f>IFERROR(INDEX('I2016'!L$5:L$90,MATCH($C38,'I2016'!$A$5:$A$90,0)),"")</f>
        <v/>
      </c>
      <c r="AA38" s="102" t="str">
        <f>IFERROR(INDEX('I2016'!M$5:M$90,MATCH($C38,'I2016'!$A$5:$A$90,0)),"")</f>
        <v/>
      </c>
      <c r="AB38" s="102" t="str">
        <f>IFERROR(INDEX('I2017'!B$5:B$96,MATCH($C38,'I2017'!$A$5:$A$96,0)),"")</f>
        <v/>
      </c>
      <c r="AC38" s="102" t="str">
        <f>IFERROR(INDEX('I2017'!C$5:C$96,MATCH($C38,'I2017'!$A$5:$A$96,0)),"")</f>
        <v/>
      </c>
      <c r="AD38" s="102" t="str">
        <f>IFERROR(INDEX('I2017'!D$5:D$96,MATCH($C38,'I2017'!$A$5:$A$96,0)),"")</f>
        <v/>
      </c>
      <c r="AE38" s="102" t="str">
        <f>IFERROR(INDEX('I2017'!E$5:E$96,MATCH($C38,'I2017'!$A$5:$A$96,0)),"")</f>
        <v/>
      </c>
      <c r="AF38" s="102" t="str">
        <f>IFERROR(INDEX('I2017'!F$5:F$96,MATCH($C38,'I2017'!$A$5:$A$96,0)),"")</f>
        <v/>
      </c>
      <c r="AG38" s="102" t="str">
        <f>IFERROR(INDEX('I2017'!G$5:G$96,MATCH($C38,'I2017'!$A$5:$A$96,0)),"")</f>
        <v/>
      </c>
      <c r="AH38" s="102" t="str">
        <f>IFERROR(INDEX('I2017'!H$5:H$96,MATCH($C38,'I2017'!$A$5:$A$96,0)),"")</f>
        <v/>
      </c>
      <c r="AI38" s="102" t="str">
        <f>IFERROR(INDEX('I2017'!I$5:I$96,MATCH($C38,'I2017'!$A$5:$A$96,0)),"")</f>
        <v/>
      </c>
      <c r="AJ38" s="102" t="str">
        <f>IFERROR(INDEX('I2017'!J$5:J$96,MATCH($C38,'I2017'!$A$5:$A$96,0)),"")</f>
        <v/>
      </c>
      <c r="AK38" s="102" t="str">
        <f>IFERROR(INDEX('I2017'!K$5:K$96,MATCH($C38,'I2017'!$A$5:$A$96,0)),"")</f>
        <v/>
      </c>
      <c r="AL38" s="102" t="str">
        <f>IFERROR(INDEX('I2017'!L$5:L$96,MATCH($C38,'I2017'!$A$5:$A$96,0)),"")</f>
        <v/>
      </c>
      <c r="AM38" s="102" t="str">
        <f>IFERROR(INDEX('I2017'!M$5:M$96,MATCH($C38,'I2017'!$A$5:$A$96,0)),"")</f>
        <v/>
      </c>
      <c r="AN38" s="102">
        <f>IFERROR(INDEX('I2018'!B$5:B$107,MATCH($C38,'I2018'!$A$5:$A$107,0)),"")</f>
        <v>0</v>
      </c>
      <c r="AO38" s="102">
        <f>IFERROR(INDEX('I2018'!C$5:C$107,MATCH($C38,'I2018'!$A$5:$A$107,0)),"")</f>
        <v>0</v>
      </c>
      <c r="AP38" s="102">
        <f>IFERROR(INDEX('I2018'!D$5:D$107,MATCH($C38,'I2018'!$A$5:$A$107,0)),"")</f>
        <v>0</v>
      </c>
      <c r="AQ38" s="102">
        <f>IFERROR(INDEX('I2018'!E$5:E$107,MATCH($C38,'I2018'!$A$5:$A$107,0)),"")</f>
        <v>0</v>
      </c>
      <c r="AR38" s="102">
        <f>IFERROR(INDEX('I2018'!F$5:F$107,MATCH($C38,'I2018'!$A$5:$A$107,0)),"")</f>
        <v>0</v>
      </c>
      <c r="AS38" s="102">
        <f>IFERROR(INDEX('I2018'!G$5:G$107,MATCH($C38,'I2018'!$A$5:$A$107,0)),"")</f>
        <v>0</v>
      </c>
      <c r="AT38" s="102">
        <f>IFERROR(INDEX('I2018'!H$5:H$107,MATCH($C38,'I2018'!$A$5:$A$107,0)),"")</f>
        <v>0</v>
      </c>
      <c r="AU38" s="102">
        <f>IFERROR(INDEX('I2018'!I$5:I$107,MATCH($C38,'I2018'!$A$5:$A$107,0)),"")</f>
        <v>0</v>
      </c>
      <c r="AV38" s="102">
        <f>IFERROR(INDEX('I2018'!J$5:J$107,MATCH($C38,'I2018'!$A$5:$A$107,0)),"")</f>
        <v>0</v>
      </c>
      <c r="AW38" s="102">
        <f>IFERROR(INDEX('I2018'!K$5:K$107,MATCH($C38,'I2018'!$A$5:$A$107,0)),"")</f>
        <v>0</v>
      </c>
      <c r="AX38" s="102">
        <f>IFERROR(INDEX('I2018'!L$5:L$107,MATCH($C38,'I2018'!$A$5:$A$107,0)),"")</f>
        <v>63784.61</v>
      </c>
      <c r="AY38" s="102">
        <f>IFERROR(INDEX('I2018'!M$5:M$107,MATCH($C38,'I2018'!$A$5:$A$107,0)),"")</f>
        <v>79370.23</v>
      </c>
      <c r="AZ38" s="102">
        <f>IFERROR(INDEX('I2019'!B$5:B$112,MATCH($C38,'I2019'!$A$5:$A$112,0)),"")</f>
        <v>2693.77</v>
      </c>
      <c r="BA38" s="102">
        <f>IFERROR(INDEX('I2019'!C$5:C$112,MATCH($C38,'I2019'!$A$5:$A$112,0)),"")</f>
        <v>9536.86</v>
      </c>
      <c r="BB38" s="102">
        <f>IFERROR(INDEX('I2019'!D$5:D$112,MATCH($C38,'I2019'!$A$5:$A$112,0)),"")</f>
        <v>109394.39</v>
      </c>
      <c r="BC38" s="102">
        <f>IFERROR(INDEX('I2019'!E$5:E$112,MATCH($C38,'I2019'!$A$5:$A$112,0)),"")</f>
        <v>144567.97</v>
      </c>
      <c r="BD38" s="102">
        <f>IFERROR(INDEX('I2019'!F$5:F$112,MATCH($C38,'I2019'!$A$5:$A$112,0)),"")</f>
        <v>281795.25</v>
      </c>
      <c r="BE38" s="102">
        <f>IFERROR(INDEX('I2019'!G$5:G$112,MATCH($C38,'I2019'!$A$5:$A$112,0)),"")</f>
        <v>238782.52</v>
      </c>
      <c r="BF38" s="102">
        <f>IFERROR(INDEX('I2019'!H$5:H$112,MATCH($C38,'I2019'!$A$5:$A$112,0)),"")</f>
        <v>230943.65</v>
      </c>
      <c r="BG38" s="102">
        <f>IFERROR(INDEX('I2019'!I$5:I$112,MATCH($C38,'I2019'!$A$5:$A$112,0)),"")</f>
        <v>484907.91</v>
      </c>
      <c r="BH38" s="102">
        <f>IFERROR(INDEX('I2019'!J$5:J$112,MATCH($C38,'I2019'!$A$5:$A$112,0)),"")</f>
        <v>480591.97</v>
      </c>
      <c r="BI38" s="102">
        <f>IFERROR(INDEX('I2019'!K$5:K$112,MATCH($C38,'I2019'!$A$5:$A$112,0)),"")</f>
        <v>400674.13</v>
      </c>
      <c r="BJ38" s="102">
        <f>IFERROR(INDEX('I2019'!L$5:L$112,MATCH($C38,'I2019'!$A$5:$A$112,0)),"")</f>
        <v>503942.14</v>
      </c>
      <c r="BK38" s="102">
        <f>IFERROR(INDEX('I2019'!M$5:M$112,MATCH($C38,'I2019'!$A$5:$A$112,0)),"")</f>
        <v>702249.9</v>
      </c>
      <c r="BL38" s="102">
        <f>IFERROR(INDEX('I2020'!B$5:B$113,MATCH($C38,'I2020'!$A$5:$A$113,0)),"")</f>
        <v>428501.74</v>
      </c>
      <c r="BM38" s="102">
        <f>IFERROR(INDEX('I2020'!C$5:C$113,MATCH($C38,'I2020'!$A$5:$A$113,0)),"")</f>
        <v>635116.5</v>
      </c>
      <c r="BN38" s="102">
        <f>IFERROR(INDEX('I2020'!D$5:D$113,MATCH($C38,'I2020'!$A$5:$A$113,0)),"")</f>
        <v>584924.6</v>
      </c>
      <c r="BO38" s="102">
        <f>IFERROR(INDEX('I2020'!E$5:E$113,MATCH($C38,'I2020'!$A$5:$A$113,0)),"")</f>
        <v>471690.29</v>
      </c>
      <c r="BP38" s="102">
        <f>IFERROR(INDEX('I2020'!F$5:F$113,MATCH($C38,'I2020'!$A$5:$A$113,0)),"")</f>
        <v>437843.61</v>
      </c>
      <c r="BQ38" s="392">
        <f>IFERROR(INDEX('I2020'!G$5:G$113,MATCH($C38,'I2020'!$A$5:$A$113,0)),"")</f>
        <v>371201.42</v>
      </c>
      <c r="BR38" s="64"/>
      <c r="BS38" s="64"/>
      <c r="BT38" s="64"/>
      <c r="BU38" s="64"/>
      <c r="BV38" s="64"/>
      <c r="BW38" s="64"/>
      <c r="BX38" s="64"/>
      <c r="BY38" s="64"/>
      <c r="BZ38" s="64"/>
      <c r="CA38" s="64"/>
      <c r="CB38" s="64"/>
      <c r="CC38" s="64"/>
      <c r="CD38" s="64"/>
      <c r="CE38" s="64"/>
      <c r="CF38" s="64"/>
      <c r="CG38" s="64"/>
      <c r="CH38" s="64"/>
      <c r="CI38" s="124"/>
      <c r="CJ38" s="138"/>
    </row>
    <row r="39" spans="1:88" x14ac:dyDescent="0.3">
      <c r="A39" s="33"/>
      <c r="B39" s="68"/>
      <c r="C39" s="21" t="s">
        <v>28</v>
      </c>
      <c r="D39" s="102">
        <f>IFERROR(INDEX('I2015'!B$5:B$73,MATCH($C39,'I2015'!$A$5:$A$73,0)),"")</f>
        <v>0</v>
      </c>
      <c r="E39" s="102">
        <f>IFERROR(INDEX('I2015'!C$5:C$73,MATCH($C39,'I2015'!$A$5:$A$73,0)),"")</f>
        <v>0</v>
      </c>
      <c r="F39" s="102">
        <f>IFERROR(INDEX('I2015'!D$5:D$73,MATCH($C39,'I2015'!$A$5:$A$73,0)),"")</f>
        <v>0</v>
      </c>
      <c r="G39" s="102">
        <f>IFERROR(INDEX('I2015'!E$5:E$73,MATCH($C39,'I2015'!$A$5:$A$73,0)),"")</f>
        <v>0</v>
      </c>
      <c r="H39" s="102">
        <f>IFERROR(INDEX('I2015'!F$5:F$73,MATCH($C39,'I2015'!$A$5:$A$73,0)),"")</f>
        <v>0</v>
      </c>
      <c r="I39" s="102">
        <f>IFERROR(INDEX('I2015'!G$5:G$73,MATCH($C39,'I2015'!$A$5:$A$73,0)),"")</f>
        <v>0</v>
      </c>
      <c r="J39" s="102">
        <f>IFERROR(INDEX('I2015'!H$5:H$73,MATCH($C39,'I2015'!$A$5:$A$73,0)),"")</f>
        <v>0</v>
      </c>
      <c r="K39" s="102">
        <f>IFERROR(INDEX('I2015'!I$5:I$73,MATCH($C39,'I2015'!$A$5:$A$73,0)),"")</f>
        <v>0</v>
      </c>
      <c r="L39" s="102">
        <f>IFERROR(INDEX('I2015'!J$5:J$73,MATCH($C39,'I2015'!$A$5:$A$73,0)),"")</f>
        <v>0</v>
      </c>
      <c r="M39" s="102">
        <f>IFERROR(INDEX('I2015'!K$5:K$73,MATCH($C39,'I2015'!$A$5:$A$73,0)),"")</f>
        <v>0</v>
      </c>
      <c r="N39" s="102">
        <f>IFERROR(INDEX('I2015'!L$5:L$73,MATCH($C39,'I2015'!$A$5:$A$73,0)),"")</f>
        <v>670</v>
      </c>
      <c r="O39" s="102">
        <f>IFERROR(INDEX('I2015'!M$5:M$73,MATCH($C39,'I2015'!$A$5:$A$73,0)),"")</f>
        <v>0</v>
      </c>
      <c r="P39" s="102">
        <f>IFERROR(INDEX('I2016'!B$5:B$90,MATCH($C39,'I2016'!$A$5:$A$90,0)),"")</f>
        <v>0</v>
      </c>
      <c r="Q39" s="102">
        <f>IFERROR(INDEX('I2016'!C$5:C$90,MATCH($C39,'I2016'!$A$5:$A$90,0)),"")</f>
        <v>0</v>
      </c>
      <c r="R39" s="102">
        <f>IFERROR(INDEX('I2016'!D$5:D$90,MATCH($C39,'I2016'!$A$5:$A$90,0)),"")</f>
        <v>0</v>
      </c>
      <c r="S39" s="102">
        <f>IFERROR(INDEX('I2016'!E$5:E$90,MATCH($C39,'I2016'!$A$5:$A$90,0)),"")</f>
        <v>0</v>
      </c>
      <c r="T39" s="102">
        <f>IFERROR(INDEX('I2016'!F$5:F$90,MATCH($C39,'I2016'!$A$5:$A$90,0)),"")</f>
        <v>0</v>
      </c>
      <c r="U39" s="102">
        <f>IFERROR(INDEX('I2016'!G$5:G$90,MATCH($C39,'I2016'!$A$5:$A$90,0)),"")</f>
        <v>821.29</v>
      </c>
      <c r="V39" s="102">
        <f>IFERROR(INDEX('I2016'!H$5:H$90,MATCH($C39,'I2016'!$A$5:$A$90,0)),"")</f>
        <v>827.21</v>
      </c>
      <c r="W39" s="102">
        <f>IFERROR(INDEX('I2016'!I$5:I$90,MATCH($C39,'I2016'!$A$5:$A$90,0)),"")</f>
        <v>373.4</v>
      </c>
      <c r="X39" s="102">
        <f>IFERROR(INDEX('I2016'!J$5:J$90,MATCH($C39,'I2016'!$A$5:$A$90,0)),"")</f>
        <v>212</v>
      </c>
      <c r="Y39" s="102">
        <f>IFERROR(INDEX('I2016'!K$5:K$90,MATCH($C39,'I2016'!$A$5:$A$90,0)),"")</f>
        <v>949.75</v>
      </c>
      <c r="Z39" s="102">
        <f>IFERROR(INDEX('I2016'!L$5:L$90,MATCH($C39,'I2016'!$A$5:$A$90,0)),"")</f>
        <v>794.94</v>
      </c>
      <c r="AA39" s="102">
        <f>IFERROR(INDEX('I2016'!M$5:M$90,MATCH($C39,'I2016'!$A$5:$A$90,0)),"")</f>
        <v>4080.67</v>
      </c>
      <c r="AB39" s="102">
        <f>IFERROR(INDEX('I2017'!B$5:B$96,MATCH($C39,'I2017'!$A$5:$A$96,0)),"")</f>
        <v>607.42999999999995</v>
      </c>
      <c r="AC39" s="102">
        <f>IFERROR(INDEX('I2017'!C$5:C$96,MATCH($C39,'I2017'!$A$5:$A$96,0)),"")</f>
        <v>1398.54</v>
      </c>
      <c r="AD39" s="102">
        <f>IFERROR(INDEX('I2017'!D$5:D$96,MATCH($C39,'I2017'!$A$5:$A$96,0)),"")</f>
        <v>1662.99</v>
      </c>
      <c r="AE39" s="102">
        <f>IFERROR(INDEX('I2017'!E$5:E$96,MATCH($C39,'I2017'!$A$5:$A$96,0)),"")</f>
        <v>1311.8</v>
      </c>
      <c r="AF39" s="102">
        <f>IFERROR(INDEX('I2017'!F$5:F$96,MATCH($C39,'I2017'!$A$5:$A$96,0)),"")</f>
        <v>2821.99</v>
      </c>
      <c r="AG39" s="102">
        <f>IFERROR(INDEX('I2017'!G$5:G$96,MATCH($C39,'I2017'!$A$5:$A$96,0)),"")</f>
        <v>2420.1799999999998</v>
      </c>
      <c r="AH39" s="102">
        <f>IFERROR(INDEX('I2017'!H$5:H$96,MATCH($C39,'I2017'!$A$5:$A$96,0)),"")</f>
        <v>884.75</v>
      </c>
      <c r="AI39" s="102">
        <f>IFERROR(INDEX('I2017'!I$5:I$96,MATCH($C39,'I2017'!$A$5:$A$96,0)),"")</f>
        <v>2314.3000000000002</v>
      </c>
      <c r="AJ39" s="102">
        <f>IFERROR(INDEX('I2017'!J$5:J$96,MATCH($C39,'I2017'!$A$5:$A$96,0)),"")</f>
        <v>1584.58</v>
      </c>
      <c r="AK39" s="102">
        <f>IFERROR(INDEX('I2017'!K$5:K$96,MATCH($C39,'I2017'!$A$5:$A$96,0)),"")</f>
        <v>1543</v>
      </c>
      <c r="AL39" s="102">
        <f>IFERROR(INDEX('I2017'!L$5:L$96,MATCH($C39,'I2017'!$A$5:$A$96,0)),"")</f>
        <v>3340.51</v>
      </c>
      <c r="AM39" s="102">
        <f>IFERROR(INDEX('I2017'!M$5:M$96,MATCH($C39,'I2017'!$A$5:$A$96,0)),"")</f>
        <v>2658.67</v>
      </c>
      <c r="AN39" s="102">
        <f>IFERROR(INDEX('I2018'!B$5:B$107,MATCH($C39,'I2018'!$A$5:$A$107,0)),"")</f>
        <v>3713.2</v>
      </c>
      <c r="AO39" s="102">
        <f>IFERROR(INDEX('I2018'!C$5:C$107,MATCH($C39,'I2018'!$A$5:$A$107,0)),"")</f>
        <v>3018.92</v>
      </c>
      <c r="AP39" s="102">
        <f>IFERROR(INDEX('I2018'!D$5:D$107,MATCH($C39,'I2018'!$A$5:$A$107,0)),"")</f>
        <v>6029.75</v>
      </c>
      <c r="AQ39" s="102">
        <f>IFERROR(INDEX('I2018'!E$5:E$107,MATCH($C39,'I2018'!$A$5:$A$107,0)),"")</f>
        <v>3202.54</v>
      </c>
      <c r="AR39" s="102">
        <f>IFERROR(INDEX('I2018'!F$5:F$107,MATCH($C39,'I2018'!$A$5:$A$107,0)),"")</f>
        <v>6604.13</v>
      </c>
      <c r="AS39" s="102">
        <f>IFERROR(INDEX('I2018'!G$5:G$107,MATCH($C39,'I2018'!$A$5:$A$107,0)),"")</f>
        <v>3978.99</v>
      </c>
      <c r="AT39" s="102">
        <f>IFERROR(INDEX('I2018'!H$5:H$107,MATCH($C39,'I2018'!$A$5:$A$107,0)),"")</f>
        <v>8715.68</v>
      </c>
      <c r="AU39" s="102">
        <f>IFERROR(INDEX('I2018'!I$5:I$107,MATCH($C39,'I2018'!$A$5:$A$107,0)),"")</f>
        <v>10563.16</v>
      </c>
      <c r="AV39" s="102">
        <f>IFERROR(INDEX('I2018'!J$5:J$107,MATCH($C39,'I2018'!$A$5:$A$107,0)),"")</f>
        <v>6978.13</v>
      </c>
      <c r="AW39" s="102">
        <f>IFERROR(INDEX('I2018'!K$5:K$107,MATCH($C39,'I2018'!$A$5:$A$107,0)),"")</f>
        <v>14477.21</v>
      </c>
      <c r="AX39" s="102">
        <f>IFERROR(INDEX('I2018'!L$5:L$107,MATCH($C39,'I2018'!$A$5:$A$107,0)),"")</f>
        <v>23625.4</v>
      </c>
      <c r="AY39" s="102">
        <f>IFERROR(INDEX('I2018'!M$5:M$107,MATCH($C39,'I2018'!$A$5:$A$107,0)),"")</f>
        <v>8562.42</v>
      </c>
      <c r="AZ39" s="102">
        <f>IFERROR(INDEX('I2019'!B$5:B$112,MATCH($C39,'I2019'!$A$5:$A$112,0)),"")</f>
        <v>3320.13</v>
      </c>
      <c r="BA39" s="102">
        <f>IFERROR(INDEX('I2019'!C$5:C$112,MATCH($C39,'I2019'!$A$5:$A$112,0)),"")</f>
        <v>11881.93</v>
      </c>
      <c r="BB39" s="102">
        <f>IFERROR(INDEX('I2019'!D$5:D$112,MATCH($C39,'I2019'!$A$5:$A$112,0)),"")</f>
        <v>17275.86</v>
      </c>
      <c r="BC39" s="102">
        <f>IFERROR(INDEX('I2019'!E$5:E$112,MATCH($C39,'I2019'!$A$5:$A$112,0)),"")</f>
        <v>12050.08</v>
      </c>
      <c r="BD39" s="102">
        <f>IFERROR(INDEX('I2019'!F$5:F$112,MATCH($C39,'I2019'!$A$5:$A$112,0)),"")</f>
        <v>12259.34</v>
      </c>
      <c r="BE39" s="102">
        <f>IFERROR(INDEX('I2019'!G$5:G$112,MATCH($C39,'I2019'!$A$5:$A$112,0)),"")</f>
        <v>14710.62</v>
      </c>
      <c r="BF39" s="102">
        <f>IFERROR(INDEX('I2019'!H$5:H$112,MATCH($C39,'I2019'!$A$5:$A$112,0)),"")</f>
        <v>15591.59</v>
      </c>
      <c r="BG39" s="102">
        <f>IFERROR(INDEX('I2019'!I$5:I$112,MATCH($C39,'I2019'!$A$5:$A$112,0)),"")</f>
        <v>14951.76</v>
      </c>
      <c r="BH39" s="102">
        <f>IFERROR(INDEX('I2019'!J$5:J$112,MATCH($C39,'I2019'!$A$5:$A$112,0)),"")</f>
        <v>16978.91</v>
      </c>
      <c r="BI39" s="102">
        <f>IFERROR(INDEX('I2019'!K$5:K$112,MATCH($C39,'I2019'!$A$5:$A$112,0)),"")</f>
        <v>17040.46</v>
      </c>
      <c r="BJ39" s="102">
        <f>IFERROR(INDEX('I2019'!L$5:L$112,MATCH($C39,'I2019'!$A$5:$A$112,0)),"")</f>
        <v>15215.39</v>
      </c>
      <c r="BK39" s="102">
        <f>IFERROR(INDEX('I2019'!M$5:M$112,MATCH($C39,'I2019'!$A$5:$A$112,0)),"")</f>
        <v>17226.38</v>
      </c>
      <c r="BL39" s="102">
        <f>IFERROR(INDEX('I2020'!B$5:B$113,MATCH($C39,'I2020'!$A$5:$A$113,0)),"")</f>
        <v>24635.599999999999</v>
      </c>
      <c r="BM39" s="102">
        <f>IFERROR(INDEX('I2020'!C$5:C$113,MATCH($C39,'I2020'!$A$5:$A$113,0)),"")</f>
        <v>11957.4</v>
      </c>
      <c r="BN39" s="102">
        <f>IFERROR(INDEX('I2020'!D$5:D$113,MATCH($C39,'I2020'!$A$5:$A$113,0)),"")</f>
        <v>21198.5</v>
      </c>
      <c r="BO39" s="102">
        <f>IFERROR(INDEX('I2020'!E$5:E$113,MATCH($C39,'I2020'!$A$5:$A$113,0)),"")</f>
        <v>1140.67</v>
      </c>
      <c r="BP39" s="102">
        <f>IFERROR(INDEX('I2020'!F$5:F$113,MATCH($C39,'I2020'!$A$5:$A$113,0)),"")</f>
        <v>14038.33</v>
      </c>
      <c r="BQ39" s="392">
        <f>IFERROR(INDEX('I2020'!G$5:G$113,MATCH($C39,'I2020'!$A$5:$A$113,0)),"")</f>
        <v>18096.07</v>
      </c>
      <c r="BR39" s="64"/>
      <c r="BS39" s="64"/>
      <c r="BT39" s="64"/>
      <c r="BU39" s="64"/>
      <c r="BV39" s="64"/>
      <c r="BW39" s="64"/>
      <c r="BX39" s="64"/>
      <c r="BY39" s="64"/>
      <c r="BZ39" s="64"/>
      <c r="CA39" s="64"/>
      <c r="CB39" s="64"/>
      <c r="CC39" s="64"/>
      <c r="CD39" s="64"/>
      <c r="CE39" s="64"/>
      <c r="CF39" s="64"/>
      <c r="CG39" s="64"/>
      <c r="CH39" s="64"/>
      <c r="CI39" s="124"/>
      <c r="CJ39" s="138"/>
    </row>
    <row r="40" spans="1:88" x14ac:dyDescent="0.3">
      <c r="A40" s="33"/>
      <c r="B40" s="68"/>
      <c r="C40" s="21" t="s">
        <v>29</v>
      </c>
      <c r="D40" s="102">
        <f>IFERROR(INDEX('I2015'!B$5:B$73,MATCH($C40,'I2015'!$A$5:$A$73,0)),"")</f>
        <v>0</v>
      </c>
      <c r="E40" s="102">
        <f>IFERROR(INDEX('I2015'!C$5:C$73,MATCH($C40,'I2015'!$A$5:$A$73,0)),"")</f>
        <v>20.3</v>
      </c>
      <c r="F40" s="102">
        <f>IFERROR(INDEX('I2015'!D$5:D$73,MATCH($C40,'I2015'!$A$5:$A$73,0)),"")</f>
        <v>0</v>
      </c>
      <c r="G40" s="102">
        <f>IFERROR(INDEX('I2015'!E$5:E$73,MATCH($C40,'I2015'!$A$5:$A$73,0)),"")</f>
        <v>20.68</v>
      </c>
      <c r="H40" s="102">
        <f>IFERROR(INDEX('I2015'!F$5:F$73,MATCH($C40,'I2015'!$A$5:$A$73,0)),"")</f>
        <v>13.62</v>
      </c>
      <c r="I40" s="102">
        <f>IFERROR(INDEX('I2015'!G$5:G$73,MATCH($C40,'I2015'!$A$5:$A$73,0)),"")</f>
        <v>28.58</v>
      </c>
      <c r="J40" s="102">
        <f>IFERROR(INDEX('I2015'!H$5:H$73,MATCH($C40,'I2015'!$A$5:$A$73,0)),"")</f>
        <v>0</v>
      </c>
      <c r="K40" s="102">
        <f>IFERROR(INDEX('I2015'!I$5:I$73,MATCH($C40,'I2015'!$A$5:$A$73,0)),"")</f>
        <v>0</v>
      </c>
      <c r="L40" s="102">
        <f>IFERROR(INDEX('I2015'!J$5:J$73,MATCH($C40,'I2015'!$A$5:$A$73,0)),"")</f>
        <v>0</v>
      </c>
      <c r="M40" s="102">
        <f>IFERROR(INDEX('I2015'!K$5:K$73,MATCH($C40,'I2015'!$A$5:$A$73,0)),"")</f>
        <v>0</v>
      </c>
      <c r="N40" s="102">
        <f>IFERROR(INDEX('I2015'!L$5:L$73,MATCH($C40,'I2015'!$A$5:$A$73,0)),"")</f>
        <v>0</v>
      </c>
      <c r="O40" s="102">
        <f>IFERROR(INDEX('I2015'!M$5:M$73,MATCH($C40,'I2015'!$A$5:$A$73,0)),"")</f>
        <v>0</v>
      </c>
      <c r="P40" s="102">
        <f>IFERROR(INDEX('I2016'!B$5:B$90,MATCH($C40,'I2016'!$A$5:$A$90,0)),"")</f>
        <v>22.93</v>
      </c>
      <c r="Q40" s="102">
        <f>IFERROR(INDEX('I2016'!C$5:C$90,MATCH($C40,'I2016'!$A$5:$A$90,0)),"")</f>
        <v>360.56</v>
      </c>
      <c r="R40" s="102">
        <f>IFERROR(INDEX('I2016'!D$5:D$90,MATCH($C40,'I2016'!$A$5:$A$90,0)),"")</f>
        <v>2072.33</v>
      </c>
      <c r="S40" s="102">
        <f>IFERROR(INDEX('I2016'!E$5:E$90,MATCH($C40,'I2016'!$A$5:$A$90,0)),"")</f>
        <v>8806.4500000000007</v>
      </c>
      <c r="T40" s="102">
        <f>IFERROR(INDEX('I2016'!F$5:F$90,MATCH($C40,'I2016'!$A$5:$A$90,0)),"")</f>
        <v>8800</v>
      </c>
      <c r="U40" s="102">
        <f>IFERROR(INDEX('I2016'!G$5:G$90,MATCH($C40,'I2016'!$A$5:$A$90,0)),"")</f>
        <v>9312.7999999999993</v>
      </c>
      <c r="V40" s="102">
        <f>IFERROR(INDEX('I2016'!H$5:H$90,MATCH($C40,'I2016'!$A$5:$A$90,0)),"")</f>
        <v>10000</v>
      </c>
      <c r="W40" s="102">
        <f>IFERROR(INDEX('I2016'!I$5:I$90,MATCH($C40,'I2016'!$A$5:$A$90,0)),"")</f>
        <v>10916.15</v>
      </c>
      <c r="X40" s="102">
        <f>IFERROR(INDEX('I2016'!J$5:J$90,MATCH($C40,'I2016'!$A$5:$A$90,0)),"")</f>
        <v>13639.18</v>
      </c>
      <c r="Y40" s="102">
        <f>IFERROR(INDEX('I2016'!K$5:K$90,MATCH($C40,'I2016'!$A$5:$A$90,0)),"")</f>
        <v>12000</v>
      </c>
      <c r="Z40" s="102">
        <f>IFERROR(INDEX('I2016'!L$5:L$90,MATCH($C40,'I2016'!$A$5:$A$90,0)),"")</f>
        <v>14561.55</v>
      </c>
      <c r="AA40" s="102">
        <f>IFERROR(INDEX('I2016'!M$5:M$90,MATCH($C40,'I2016'!$A$5:$A$90,0)),"")</f>
        <v>12216.7</v>
      </c>
      <c r="AB40" s="102">
        <f>IFERROR(INDEX('I2017'!B$5:B$96,MATCH($C40,'I2017'!$A$5:$A$96,0)),"")</f>
        <v>17931.25</v>
      </c>
      <c r="AC40" s="102">
        <f>IFERROR(INDEX('I2017'!C$5:C$96,MATCH($C40,'I2017'!$A$5:$A$96,0)),"")</f>
        <v>19718.349999999999</v>
      </c>
      <c r="AD40" s="102">
        <f>IFERROR(INDEX('I2017'!D$5:D$96,MATCH($C40,'I2017'!$A$5:$A$96,0)),"")</f>
        <v>25161.11</v>
      </c>
      <c r="AE40" s="102">
        <f>IFERROR(INDEX('I2017'!E$5:E$96,MATCH($C40,'I2017'!$A$5:$A$96,0)),"")</f>
        <v>27328.65</v>
      </c>
      <c r="AF40" s="102">
        <f>IFERROR(INDEX('I2017'!F$5:F$96,MATCH($C40,'I2017'!$A$5:$A$96,0)),"")</f>
        <v>31524.6</v>
      </c>
      <c r="AG40" s="102">
        <f>IFERROR(INDEX('I2017'!G$5:G$96,MATCH($C40,'I2017'!$A$5:$A$96,0)),"")</f>
        <v>31958.14</v>
      </c>
      <c r="AH40" s="102">
        <f>IFERROR(INDEX('I2017'!H$5:H$96,MATCH($C40,'I2017'!$A$5:$A$96,0)),"")</f>
        <v>33545.75</v>
      </c>
      <c r="AI40" s="102">
        <f>IFERROR(INDEX('I2017'!I$5:I$96,MATCH($C40,'I2017'!$A$5:$A$96,0)),"")</f>
        <v>35099.769999999997</v>
      </c>
      <c r="AJ40" s="102">
        <f>IFERROR(INDEX('I2017'!J$5:J$96,MATCH($C40,'I2017'!$A$5:$A$96,0)),"")</f>
        <v>39114.35</v>
      </c>
      <c r="AK40" s="102">
        <f>IFERROR(INDEX('I2017'!K$5:K$96,MATCH($C40,'I2017'!$A$5:$A$96,0)),"")</f>
        <v>42916.88</v>
      </c>
      <c r="AL40" s="102">
        <f>IFERROR(INDEX('I2017'!L$5:L$96,MATCH($C40,'I2017'!$A$5:$A$96,0)),"")</f>
        <v>38700</v>
      </c>
      <c r="AM40" s="102">
        <f>IFERROR(INDEX('I2017'!M$5:M$96,MATCH($C40,'I2017'!$A$5:$A$96,0)),"")</f>
        <v>20244.5</v>
      </c>
      <c r="AN40" s="102">
        <f>IFERROR(INDEX('I2018'!B$5:B$107,MATCH($C40,'I2018'!$A$5:$A$107,0)),"")</f>
        <v>527.5</v>
      </c>
      <c r="AO40" s="102">
        <f>IFERROR(INDEX('I2018'!C$5:C$107,MATCH($C40,'I2018'!$A$5:$A$107,0)),"")</f>
        <v>0</v>
      </c>
      <c r="AP40" s="102">
        <f>IFERROR(INDEX('I2018'!D$5:D$107,MATCH($C40,'I2018'!$A$5:$A$107,0)),"")</f>
        <v>100</v>
      </c>
      <c r="AQ40" s="102">
        <f>IFERROR(INDEX('I2018'!E$5:E$107,MATCH($C40,'I2018'!$A$5:$A$107,0)),"")</f>
        <v>7.3</v>
      </c>
      <c r="AR40" s="102">
        <f>IFERROR(INDEX('I2018'!F$5:F$107,MATCH($C40,'I2018'!$A$5:$A$107,0)),"")</f>
        <v>19.3</v>
      </c>
      <c r="AS40" s="102">
        <f>IFERROR(INDEX('I2018'!G$5:G$107,MATCH($C40,'I2018'!$A$5:$A$107,0)),"")</f>
        <v>1</v>
      </c>
      <c r="AT40" s="102">
        <f>IFERROR(INDEX('I2018'!H$5:H$107,MATCH($C40,'I2018'!$A$5:$A$107,0)),"")</f>
        <v>0</v>
      </c>
      <c r="AU40" s="102">
        <f>IFERROR(INDEX('I2018'!I$5:I$107,MATCH($C40,'I2018'!$A$5:$A$107,0)),"")</f>
        <v>24.7</v>
      </c>
      <c r="AV40" s="102">
        <f>IFERROR(INDEX('I2018'!J$5:J$107,MATCH($C40,'I2018'!$A$5:$A$107,0)),"")</f>
        <v>0</v>
      </c>
      <c r="AW40" s="102">
        <f>IFERROR(INDEX('I2018'!K$5:K$107,MATCH($C40,'I2018'!$A$5:$A$107,0)),"")</f>
        <v>0</v>
      </c>
      <c r="AX40" s="102">
        <f>IFERROR(INDEX('I2018'!L$5:L$107,MATCH($C40,'I2018'!$A$5:$A$107,0)),"")</f>
        <v>0</v>
      </c>
      <c r="AY40" s="102">
        <f>IFERROR(INDEX('I2018'!M$5:M$107,MATCH($C40,'I2018'!$A$5:$A$107,0)),"")</f>
        <v>36.25</v>
      </c>
      <c r="AZ40" s="102" t="str">
        <f>IFERROR(INDEX('I2019'!B$5:B$112,MATCH($C40,'I2019'!$A$5:$A$112,0)),"")</f>
        <v/>
      </c>
      <c r="BA40" s="102" t="str">
        <f>IFERROR(INDEX('I2019'!C$5:C$112,MATCH($C40,'I2019'!$A$5:$A$112,0)),"")</f>
        <v/>
      </c>
      <c r="BB40" s="102" t="str">
        <f>IFERROR(INDEX('I2019'!D$5:D$112,MATCH($C40,'I2019'!$A$5:$A$112,0)),"")</f>
        <v/>
      </c>
      <c r="BC40" s="102" t="str">
        <f>IFERROR(INDEX('I2019'!E$5:E$112,MATCH($C40,'I2019'!$A$5:$A$112,0)),"")</f>
        <v/>
      </c>
      <c r="BD40" s="102" t="str">
        <f>IFERROR(INDEX('I2019'!F$5:F$112,MATCH($C40,'I2019'!$A$5:$A$112,0)),"")</f>
        <v/>
      </c>
      <c r="BE40" s="102" t="str">
        <f>IFERROR(INDEX('I2019'!G$5:G$112,MATCH($C40,'I2019'!$A$5:$A$112,0)),"")</f>
        <v/>
      </c>
      <c r="BF40" s="102" t="str">
        <f>IFERROR(INDEX('I2019'!H$5:H$112,MATCH($C40,'I2019'!$A$5:$A$112,0)),"")</f>
        <v/>
      </c>
      <c r="BG40" s="102" t="str">
        <f>IFERROR(INDEX('I2019'!I$5:I$112,MATCH($C40,'I2019'!$A$5:$A$112,0)),"")</f>
        <v/>
      </c>
      <c r="BH40" s="102" t="str">
        <f>IFERROR(INDEX('I2019'!J$5:J$112,MATCH($C40,'I2019'!$A$5:$A$112,0)),"")</f>
        <v/>
      </c>
      <c r="BI40" s="102" t="str">
        <f>IFERROR(INDEX('I2019'!K$5:K$112,MATCH($C40,'I2019'!$A$5:$A$112,0)),"")</f>
        <v/>
      </c>
      <c r="BJ40" s="102" t="str">
        <f>IFERROR(INDEX('I2019'!L$5:L$112,MATCH($C40,'I2019'!$A$5:$A$112,0)),"")</f>
        <v/>
      </c>
      <c r="BK40" s="102" t="str">
        <f>IFERROR(INDEX('I2019'!M$5:M$112,MATCH($C40,'I2019'!$A$5:$A$112,0)),"")</f>
        <v/>
      </c>
      <c r="BL40" s="102" t="str">
        <f>IFERROR(INDEX('I2020'!B$5:B$113,MATCH($C40,'I2020'!$A$5:$A$113,0)),"")</f>
        <v/>
      </c>
      <c r="BM40" s="102" t="str">
        <f>IFERROR(INDEX('I2020'!C$5:C$113,MATCH($C40,'I2020'!$A$5:$A$113,0)),"")</f>
        <v/>
      </c>
      <c r="BN40" s="102" t="str">
        <f>IFERROR(INDEX('I2020'!D$5:D$113,MATCH($C40,'I2020'!$A$5:$A$113,0)),"")</f>
        <v/>
      </c>
      <c r="BO40" s="102" t="str">
        <f>IFERROR(INDEX('I2020'!E$5:E$113,MATCH($C40,'I2020'!$A$5:$A$113,0)),"")</f>
        <v/>
      </c>
      <c r="BP40" s="102" t="str">
        <f>IFERROR(INDEX('I2020'!F$5:F$113,MATCH($C40,'I2020'!$A$5:$A$113,0)),"")</f>
        <v/>
      </c>
      <c r="BQ40" s="392" t="str">
        <f>IFERROR(INDEX('I2020'!G$5:G$113,MATCH($C40,'I2020'!$A$5:$A$113,0)),"")</f>
        <v/>
      </c>
      <c r="BR40" s="64"/>
      <c r="BS40" s="64"/>
      <c r="BT40" s="64"/>
      <c r="BU40" s="64"/>
      <c r="BV40" s="64"/>
      <c r="BW40" s="64"/>
      <c r="BX40" s="64"/>
      <c r="BY40" s="64"/>
      <c r="BZ40" s="64"/>
      <c r="CA40" s="64"/>
      <c r="CB40" s="64"/>
      <c r="CC40" s="64"/>
      <c r="CD40" s="64"/>
      <c r="CE40" s="64"/>
      <c r="CF40" s="64"/>
      <c r="CG40" s="64"/>
      <c r="CH40" s="64"/>
      <c r="CI40" s="124"/>
      <c r="CJ40" s="138"/>
    </row>
    <row r="41" spans="1:88" x14ac:dyDescent="0.3">
      <c r="A41" s="33" t="s">
        <v>248</v>
      </c>
      <c r="B41" s="62">
        <v>0.25</v>
      </c>
      <c r="C41" s="21" t="s">
        <v>30</v>
      </c>
      <c r="D41" s="102">
        <f>IFERROR(INDEX('I2015'!B$5:B$73,MATCH($C41,'I2015'!$A$5:$A$73,0)),"")</f>
        <v>0</v>
      </c>
      <c r="E41" s="102">
        <f>IFERROR(INDEX('I2015'!C$5:C$73,MATCH($C41,'I2015'!$A$5:$A$73,0)),"")</f>
        <v>0</v>
      </c>
      <c r="F41" s="102">
        <f>IFERROR(INDEX('I2015'!D$5:D$73,MATCH($C41,'I2015'!$A$5:$A$73,0)),"")</f>
        <v>0</v>
      </c>
      <c r="G41" s="102">
        <f>IFERROR(INDEX('I2015'!E$5:E$73,MATCH($C41,'I2015'!$A$5:$A$73,0)),"")</f>
        <v>0</v>
      </c>
      <c r="H41" s="102">
        <f>IFERROR(INDEX('I2015'!F$5:F$73,MATCH($C41,'I2015'!$A$5:$A$73,0)),"")</f>
        <v>0</v>
      </c>
      <c r="I41" s="102">
        <f>IFERROR(INDEX('I2015'!G$5:G$73,MATCH($C41,'I2015'!$A$5:$A$73,0)),"")</f>
        <v>0</v>
      </c>
      <c r="J41" s="102">
        <f>IFERROR(INDEX('I2015'!H$5:H$73,MATCH($C41,'I2015'!$A$5:$A$73,0)),"")</f>
        <v>0</v>
      </c>
      <c r="K41" s="102">
        <f>IFERROR(INDEX('I2015'!I$5:I$73,MATCH($C41,'I2015'!$A$5:$A$73,0)),"")</f>
        <v>0</v>
      </c>
      <c r="L41" s="102">
        <f>IFERROR(INDEX('I2015'!J$5:J$73,MATCH($C41,'I2015'!$A$5:$A$73,0)),"")</f>
        <v>0</v>
      </c>
      <c r="M41" s="102">
        <f>IFERROR(INDEX('I2015'!K$5:K$73,MATCH($C41,'I2015'!$A$5:$A$73,0)),"")</f>
        <v>0</v>
      </c>
      <c r="N41" s="102">
        <f>IFERROR(INDEX('I2015'!L$5:L$73,MATCH($C41,'I2015'!$A$5:$A$73,0)),"")</f>
        <v>670</v>
      </c>
      <c r="O41" s="102">
        <f>IFERROR(INDEX('I2015'!M$5:M$73,MATCH($C41,'I2015'!$A$5:$A$73,0)),"")</f>
        <v>0</v>
      </c>
      <c r="P41" s="102">
        <f>IFERROR(INDEX('I2016'!B$5:B$90,MATCH($C41,'I2016'!$A$5:$A$90,0)),"")</f>
        <v>0</v>
      </c>
      <c r="Q41" s="102">
        <f>IFERROR(INDEX('I2016'!C$5:C$90,MATCH($C41,'I2016'!$A$5:$A$90,0)),"")</f>
        <v>0</v>
      </c>
      <c r="R41" s="102">
        <f>IFERROR(INDEX('I2016'!D$5:D$90,MATCH($C41,'I2016'!$A$5:$A$90,0)),"")</f>
        <v>0</v>
      </c>
      <c r="S41" s="102">
        <f>IFERROR(INDEX('I2016'!E$5:E$90,MATCH($C41,'I2016'!$A$5:$A$90,0)),"")</f>
        <v>0</v>
      </c>
      <c r="T41" s="102">
        <f>IFERROR(INDEX('I2016'!F$5:F$90,MATCH($C41,'I2016'!$A$5:$A$90,0)),"")</f>
        <v>0</v>
      </c>
      <c r="U41" s="102">
        <f>IFERROR(INDEX('I2016'!G$5:G$90,MATCH($C41,'I2016'!$A$5:$A$90,0)),"")</f>
        <v>821.29</v>
      </c>
      <c r="V41" s="102">
        <f>IFERROR(INDEX('I2016'!H$5:H$90,MATCH($C41,'I2016'!$A$5:$A$90,0)),"")</f>
        <v>827.21</v>
      </c>
      <c r="W41" s="102">
        <f>IFERROR(INDEX('I2016'!I$5:I$90,MATCH($C41,'I2016'!$A$5:$A$90,0)),"")</f>
        <v>373.4</v>
      </c>
      <c r="X41" s="102">
        <f>IFERROR(INDEX('I2016'!J$5:J$90,MATCH($C41,'I2016'!$A$5:$A$90,0)),"")</f>
        <v>212</v>
      </c>
      <c r="Y41" s="102">
        <f>IFERROR(INDEX('I2016'!K$5:K$90,MATCH($C41,'I2016'!$A$5:$A$90,0)),"")</f>
        <v>949.75</v>
      </c>
      <c r="Z41" s="102">
        <f>IFERROR(INDEX('I2016'!L$5:L$90,MATCH($C41,'I2016'!$A$5:$A$90,0)),"")</f>
        <v>794.94</v>
      </c>
      <c r="AA41" s="102">
        <f>IFERROR(INDEX('I2016'!M$5:M$90,MATCH($C41,'I2016'!$A$5:$A$90,0)),"")</f>
        <v>4080.67</v>
      </c>
      <c r="AB41" s="102">
        <f>IFERROR(INDEX('I2017'!B$5:B$96,MATCH($C41,'I2017'!$A$5:$A$96,0)),"")</f>
        <v>40889.32</v>
      </c>
      <c r="AC41" s="102">
        <f>IFERROR(INDEX('I2017'!C$5:C$96,MATCH($C41,'I2017'!$A$5:$A$96,0)),"")</f>
        <v>43611.33</v>
      </c>
      <c r="AD41" s="102">
        <f>IFERROR(INDEX('I2017'!D$5:D$96,MATCH($C41,'I2017'!$A$5:$A$96,0)),"")</f>
        <v>62430.7</v>
      </c>
      <c r="AE41" s="102">
        <f>IFERROR(INDEX('I2017'!E$5:E$96,MATCH($C41,'I2017'!$A$5:$A$96,0)),"")</f>
        <v>61382.65</v>
      </c>
      <c r="AF41" s="102">
        <f>IFERROR(INDEX('I2017'!F$5:F$96,MATCH($C41,'I2017'!$A$5:$A$96,0)),"")</f>
        <v>69491.179999999993</v>
      </c>
      <c r="AG41" s="102">
        <f>IFERROR(INDEX('I2017'!G$5:G$96,MATCH($C41,'I2017'!$A$5:$A$96,0)),"")</f>
        <v>82609.119999999995</v>
      </c>
      <c r="AH41" s="102">
        <f>IFERROR(INDEX('I2017'!H$5:H$96,MATCH($C41,'I2017'!$A$5:$A$96,0)),"")</f>
        <v>70356.800000000003</v>
      </c>
      <c r="AI41" s="102">
        <f>IFERROR(INDEX('I2017'!I$5:I$96,MATCH($C41,'I2017'!$A$5:$A$96,0)),"")</f>
        <v>77871.350000000006</v>
      </c>
      <c r="AJ41" s="102">
        <f>IFERROR(INDEX('I2017'!J$5:J$96,MATCH($C41,'I2017'!$A$5:$A$96,0)),"")</f>
        <v>98437.03</v>
      </c>
      <c r="AK41" s="102">
        <f>IFERROR(INDEX('I2017'!K$5:K$96,MATCH($C41,'I2017'!$A$5:$A$96,0)),"")</f>
        <v>94527.83</v>
      </c>
      <c r="AL41" s="102">
        <f>IFERROR(INDEX('I2017'!L$5:L$96,MATCH($C41,'I2017'!$A$5:$A$96,0)),"")</f>
        <v>91079.290000000008</v>
      </c>
      <c r="AM41" s="102">
        <f>IFERROR(INDEX('I2017'!M$5:M$96,MATCH($C41,'I2017'!$A$5:$A$96,0)),"")</f>
        <v>110611.77</v>
      </c>
      <c r="AN41" s="102">
        <f>IFERROR(INDEX('I2018'!B$5:B$107,MATCH($C41,'I2018'!$A$5:$A$107,0)),"")</f>
        <v>103562.87999999999</v>
      </c>
      <c r="AO41" s="102">
        <f>IFERROR(INDEX('I2018'!C$5:C$107,MATCH($C41,'I2018'!$A$5:$A$107,0)),"")</f>
        <v>100939.62</v>
      </c>
      <c r="AP41" s="102">
        <f>IFERROR(INDEX('I2018'!D$5:D$107,MATCH($C41,'I2018'!$A$5:$A$107,0)),"")</f>
        <v>188253.37</v>
      </c>
      <c r="AQ41" s="102">
        <f>IFERROR(INDEX('I2018'!E$5:E$107,MATCH($C41,'I2018'!$A$5:$A$107,0)),"")</f>
        <v>244336.86000000002</v>
      </c>
      <c r="AR41" s="102">
        <f>IFERROR(INDEX('I2018'!F$5:F$107,MATCH($C41,'I2018'!$A$5:$A$107,0)),"")</f>
        <v>251822.93</v>
      </c>
      <c r="AS41" s="102">
        <f>IFERROR(INDEX('I2018'!G$5:G$107,MATCH($C41,'I2018'!$A$5:$A$107,0)),"")</f>
        <v>278356.51999999996</v>
      </c>
      <c r="AT41" s="102">
        <f>IFERROR(INDEX('I2018'!H$5:H$107,MATCH($C41,'I2018'!$A$5:$A$107,0)),"")</f>
        <v>281537.36</v>
      </c>
      <c r="AU41" s="102">
        <f>IFERROR(INDEX('I2018'!I$5:I$107,MATCH($C41,'I2018'!$A$5:$A$107,0)),"")</f>
        <v>421637.24</v>
      </c>
      <c r="AV41" s="102">
        <f>IFERROR(INDEX('I2018'!J$5:J$107,MATCH($C41,'I2018'!$A$5:$A$107,0)),"")</f>
        <v>416358.9</v>
      </c>
      <c r="AW41" s="102">
        <f>IFERROR(INDEX('I2018'!K$5:K$107,MATCH($C41,'I2018'!$A$5:$A$107,0)),"")</f>
        <v>504671.86000000004</v>
      </c>
      <c r="AX41" s="102">
        <f>IFERROR(INDEX('I2018'!L$5:L$107,MATCH($C41,'I2018'!$A$5:$A$107,0)),"")</f>
        <v>553992.3600000001</v>
      </c>
      <c r="AY41" s="102">
        <f>IFERROR(INDEX('I2018'!M$5:M$107,MATCH($C41,'I2018'!$A$5:$A$107,0)),"")</f>
        <v>651741.86</v>
      </c>
      <c r="AZ41" s="102">
        <f>IFERROR(INDEX('I2019'!B$5:B$112,MATCH($C41,'I2019'!$A$5:$A$112,0)),"")</f>
        <v>647136.22000000009</v>
      </c>
      <c r="BA41" s="102">
        <f>IFERROR(INDEX('I2019'!C$5:C$112,MATCH($C41,'I2019'!$A$5:$A$112,0)),"")</f>
        <v>555634.55000000005</v>
      </c>
      <c r="BB41" s="102">
        <f>IFERROR(INDEX('I2019'!D$5:D$112,MATCH($C41,'I2019'!$A$5:$A$112,0)),"")</f>
        <v>589662.91999999993</v>
      </c>
      <c r="BC41" s="102">
        <f>IFERROR(INDEX('I2019'!E$5:E$112,MATCH($C41,'I2019'!$A$5:$A$112,0)),"")</f>
        <v>495504.13000000006</v>
      </c>
      <c r="BD41" s="102">
        <f>IFERROR(INDEX('I2019'!F$5:F$112,MATCH($C41,'I2019'!$A$5:$A$112,0)),"")</f>
        <v>553826.54999999993</v>
      </c>
      <c r="BE41" s="102">
        <f>IFERROR(INDEX('I2019'!G$5:G$112,MATCH($C41,'I2019'!$A$5:$A$112,0)),"")</f>
        <v>578503.97</v>
      </c>
      <c r="BF41" s="102">
        <f>IFERROR(INDEX('I2019'!H$5:H$112,MATCH($C41,'I2019'!$A$5:$A$112,0)),"")</f>
        <v>509710.50000000006</v>
      </c>
      <c r="BG41" s="102">
        <f>IFERROR(INDEX('I2019'!I$5:I$112,MATCH($C41,'I2019'!$A$5:$A$112,0)),"")</f>
        <v>737520.87</v>
      </c>
      <c r="BH41" s="102">
        <f>IFERROR(INDEX('I2019'!J$5:J$112,MATCH($C41,'I2019'!$A$5:$A$112,0)),"")</f>
        <v>497676.97999999992</v>
      </c>
      <c r="BI41" s="102">
        <f>IFERROR(INDEX('I2019'!K$5:K$112,MATCH($C41,'I2019'!$A$5:$A$112,0)),"")</f>
        <v>417807.23000000004</v>
      </c>
      <c r="BJ41" s="102">
        <f>IFERROR(INDEX('I2019'!L$5:L$112,MATCH($C41,'I2019'!$A$5:$A$112,0)),"")</f>
        <v>527770.98</v>
      </c>
      <c r="BK41" s="102">
        <f>IFERROR(INDEX('I2019'!M$5:M$112,MATCH($C41,'I2019'!$A$5:$A$112,0)),"")</f>
        <v>722407.08000000007</v>
      </c>
      <c r="BL41" s="102">
        <f>IFERROR(INDEX('I2020'!B$5:B$113,MATCH($C41,'I2020'!$A$5:$A$113,0)),"")</f>
        <v>453222.54</v>
      </c>
      <c r="BM41" s="102">
        <f>IFERROR(INDEX('I2020'!C$5:C$113,MATCH($C41,'I2020'!$A$5:$A$113,0)),"")</f>
        <v>647158.85</v>
      </c>
      <c r="BN41" s="102">
        <f>IFERROR(INDEX('I2020'!D$5:D$113,MATCH($C41,'I2020'!$A$5:$A$113,0)),"")</f>
        <v>606208.04999999993</v>
      </c>
      <c r="BO41" s="102">
        <f>IFERROR(INDEX('I2020'!E$5:E$113,MATCH($C41,'I2020'!$A$5:$A$113,0)),"")</f>
        <v>472915.91</v>
      </c>
      <c r="BP41" s="102">
        <f>IFERROR(INDEX('I2020'!F$5:F$113,MATCH($C41,'I2020'!$A$5:$A$113,0)),"")</f>
        <v>452012.3</v>
      </c>
      <c r="BQ41" s="392">
        <f>IFERROR(INDEX('I2020'!G$5:G$113,MATCH($C41,'I2020'!$A$5:$A$113,0)),"")</f>
        <v>389378.82</v>
      </c>
      <c r="BR41" s="64">
        <f t="shared" ref="BQ41:CA41" si="78">$B41*BR$31</f>
        <v>706647.64774208015</v>
      </c>
      <c r="BS41" s="64">
        <f t="shared" si="78"/>
        <v>716569.25080026896</v>
      </c>
      <c r="BT41" s="64">
        <f t="shared" si="78"/>
        <v>733581.60120321636</v>
      </c>
      <c r="BU41" s="64">
        <f t="shared" si="78"/>
        <v>756811.05355935427</v>
      </c>
      <c r="BV41" s="64">
        <f t="shared" si="78"/>
        <v>785591.36180007155</v>
      </c>
      <c r="BW41" s="64">
        <f t="shared" si="78"/>
        <v>819424.15952980053</v>
      </c>
      <c r="BX41" s="64">
        <f t="shared" si="78"/>
        <v>849354.6637649301</v>
      </c>
      <c r="BY41" s="64">
        <f t="shared" si="78"/>
        <v>876206.29719514982</v>
      </c>
      <c r="BZ41" s="64">
        <f t="shared" si="78"/>
        <v>900638.44243207388</v>
      </c>
      <c r="CA41" s="64">
        <f t="shared" si="78"/>
        <v>923179.25969175226</v>
      </c>
      <c r="CB41" s="64">
        <f t="shared" ref="BQ41:CI44" si="79">$B41*CB$31</f>
        <v>944251.94108568656</v>
      </c>
      <c r="CC41" s="64">
        <f t="shared" si="79"/>
        <v>964195.71420081798</v>
      </c>
      <c r="CD41" s="64">
        <f t="shared" si="79"/>
        <v>983282.64511290728</v>
      </c>
      <c r="CE41" s="64">
        <f t="shared" si="79"/>
        <v>1001731.0809488625</v>
      </c>
      <c r="CF41" s="64">
        <f t="shared" si="79"/>
        <v>1019716.4040905047</v>
      </c>
      <c r="CG41" s="64">
        <f t="shared" si="79"/>
        <v>1037379.6356937896</v>
      </c>
      <c r="CH41" s="64">
        <f t="shared" si="79"/>
        <v>1054834.3186627382</v>
      </c>
      <c r="CI41" s="124">
        <f t="shared" si="79"/>
        <v>1072172.0241895129</v>
      </c>
      <c r="CJ41" s="138"/>
    </row>
    <row r="42" spans="1:88" x14ac:dyDescent="0.3">
      <c r="A42" s="33" t="s">
        <v>249</v>
      </c>
      <c r="B42" s="62">
        <v>4.2000000000000003E-2</v>
      </c>
      <c r="C42" s="21" t="s">
        <v>31</v>
      </c>
      <c r="D42" s="102" t="str">
        <f>IFERROR(INDEX('I2015'!B$5:B$73,MATCH($C42,'I2015'!$A$5:$A$73,0)),"")</f>
        <v/>
      </c>
      <c r="E42" s="102" t="str">
        <f>IFERROR(INDEX('I2015'!C$5:C$73,MATCH($C42,'I2015'!$A$5:$A$73,0)),"")</f>
        <v/>
      </c>
      <c r="F42" s="102" t="str">
        <f>IFERROR(INDEX('I2015'!D$5:D$73,MATCH($C42,'I2015'!$A$5:$A$73,0)),"")</f>
        <v/>
      </c>
      <c r="G42" s="102" t="str">
        <f>IFERROR(INDEX('I2015'!E$5:E$73,MATCH($C42,'I2015'!$A$5:$A$73,0)),"")</f>
        <v/>
      </c>
      <c r="H42" s="102" t="str">
        <f>IFERROR(INDEX('I2015'!F$5:F$73,MATCH($C42,'I2015'!$A$5:$A$73,0)),"")</f>
        <v/>
      </c>
      <c r="I42" s="102" t="str">
        <f>IFERROR(INDEX('I2015'!G$5:G$73,MATCH($C42,'I2015'!$A$5:$A$73,0)),"")</f>
        <v/>
      </c>
      <c r="J42" s="102" t="str">
        <f>IFERROR(INDEX('I2015'!H$5:H$73,MATCH($C42,'I2015'!$A$5:$A$73,0)),"")</f>
        <v/>
      </c>
      <c r="K42" s="102" t="str">
        <f>IFERROR(INDEX('I2015'!I$5:I$73,MATCH($C42,'I2015'!$A$5:$A$73,0)),"")</f>
        <v/>
      </c>
      <c r="L42" s="102" t="str">
        <f>IFERROR(INDEX('I2015'!J$5:J$73,MATCH($C42,'I2015'!$A$5:$A$73,0)),"")</f>
        <v/>
      </c>
      <c r="M42" s="102" t="str">
        <f>IFERROR(INDEX('I2015'!K$5:K$73,MATCH($C42,'I2015'!$A$5:$A$73,0)),"")</f>
        <v/>
      </c>
      <c r="N42" s="102" t="str">
        <f>IFERROR(INDEX('I2015'!L$5:L$73,MATCH($C42,'I2015'!$A$5:$A$73,0)),"")</f>
        <v/>
      </c>
      <c r="O42" s="102" t="str">
        <f>IFERROR(INDEX('I2015'!M$5:M$73,MATCH($C42,'I2015'!$A$5:$A$73,0)),"")</f>
        <v/>
      </c>
      <c r="P42" s="102">
        <f>IFERROR(INDEX('I2016'!B$5:B$90,MATCH($C42,'I2016'!$A$5:$A$90,0)),"")</f>
        <v>0</v>
      </c>
      <c r="Q42" s="102">
        <f>IFERROR(INDEX('I2016'!C$5:C$90,MATCH($C42,'I2016'!$A$5:$A$90,0)),"")</f>
        <v>0</v>
      </c>
      <c r="R42" s="102">
        <f>IFERROR(INDEX('I2016'!D$5:D$90,MATCH($C42,'I2016'!$A$5:$A$90,0)),"")</f>
        <v>0</v>
      </c>
      <c r="S42" s="102">
        <f>IFERROR(INDEX('I2016'!E$5:E$90,MATCH($C42,'I2016'!$A$5:$A$90,0)),"")</f>
        <v>0</v>
      </c>
      <c r="T42" s="102">
        <f>IFERROR(INDEX('I2016'!F$5:F$90,MATCH($C42,'I2016'!$A$5:$A$90,0)),"")</f>
        <v>0</v>
      </c>
      <c r="U42" s="102">
        <f>IFERROR(INDEX('I2016'!G$5:G$90,MATCH($C42,'I2016'!$A$5:$A$90,0)),"")</f>
        <v>0</v>
      </c>
      <c r="V42" s="102">
        <f>IFERROR(INDEX('I2016'!H$5:H$90,MATCH($C42,'I2016'!$A$5:$A$90,0)),"")</f>
        <v>0</v>
      </c>
      <c r="W42" s="102">
        <f>IFERROR(INDEX('I2016'!I$5:I$90,MATCH($C42,'I2016'!$A$5:$A$90,0)),"")</f>
        <v>1025.95</v>
      </c>
      <c r="X42" s="102">
        <f>IFERROR(INDEX('I2016'!J$5:J$90,MATCH($C42,'I2016'!$A$5:$A$90,0)),"")</f>
        <v>532.35</v>
      </c>
      <c r="Y42" s="102">
        <f>IFERROR(INDEX('I2016'!K$5:K$90,MATCH($C42,'I2016'!$A$5:$A$90,0)),"")</f>
        <v>11455.13</v>
      </c>
      <c r="Z42" s="102">
        <f>IFERROR(INDEX('I2016'!L$5:L$90,MATCH($C42,'I2016'!$A$5:$A$90,0)),"")</f>
        <v>1934.33</v>
      </c>
      <c r="AA42" s="102">
        <f>IFERROR(INDEX('I2016'!M$5:M$90,MATCH($C42,'I2016'!$A$5:$A$90,0)),"")</f>
        <v>2287.96</v>
      </c>
      <c r="AB42" s="102">
        <f>IFERROR(INDEX('I2017'!B$5:B$96,MATCH($C42,'I2017'!$A$5:$A$96,0)),"")</f>
        <v>2963.89</v>
      </c>
      <c r="AC42" s="102">
        <f>IFERROR(INDEX('I2017'!C$5:C$96,MATCH($C42,'I2017'!$A$5:$A$96,0)),"")</f>
        <v>3657.24</v>
      </c>
      <c r="AD42" s="102">
        <f>IFERROR(INDEX('I2017'!D$5:D$96,MATCH($C42,'I2017'!$A$5:$A$96,0)),"")</f>
        <v>4576.34</v>
      </c>
      <c r="AE42" s="102">
        <f>IFERROR(INDEX('I2017'!E$5:E$96,MATCH($C42,'I2017'!$A$5:$A$96,0)),"")</f>
        <v>4791.45</v>
      </c>
      <c r="AF42" s="102">
        <f>IFERROR(INDEX('I2017'!F$5:F$96,MATCH($C42,'I2017'!$A$5:$A$96,0)),"")</f>
        <v>4423.54</v>
      </c>
      <c r="AG42" s="102">
        <f>IFERROR(INDEX('I2017'!G$5:G$96,MATCH($C42,'I2017'!$A$5:$A$96,0)),"")</f>
        <v>4030.84</v>
      </c>
      <c r="AH42" s="102">
        <f>IFERROR(INDEX('I2017'!H$5:H$96,MATCH($C42,'I2017'!$A$5:$A$96,0)),"")</f>
        <v>3743.04</v>
      </c>
      <c r="AI42" s="102">
        <f>IFERROR(INDEX('I2017'!I$5:I$96,MATCH($C42,'I2017'!$A$5:$A$96,0)),"")</f>
        <v>5429.54</v>
      </c>
      <c r="AJ42" s="102">
        <f>IFERROR(INDEX('I2017'!J$5:J$96,MATCH($C42,'I2017'!$A$5:$A$96,0)),"")</f>
        <v>5833.37</v>
      </c>
      <c r="AK42" s="102">
        <f>IFERROR(INDEX('I2017'!K$5:K$96,MATCH($C42,'I2017'!$A$5:$A$96,0)),"")</f>
        <v>6299.59</v>
      </c>
      <c r="AL42" s="102">
        <f>IFERROR(INDEX('I2017'!L$5:L$96,MATCH($C42,'I2017'!$A$5:$A$96,0)),"")</f>
        <v>5855.91</v>
      </c>
      <c r="AM42" s="102">
        <f>IFERROR(INDEX('I2017'!M$5:M$96,MATCH($C42,'I2017'!$A$5:$A$96,0)),"")</f>
        <v>6029.6</v>
      </c>
      <c r="AN42" s="102">
        <f>IFERROR(INDEX('I2018'!B$5:B$107,MATCH($C42,'I2018'!$A$5:$A$107,0)),"")</f>
        <v>8945.06</v>
      </c>
      <c r="AO42" s="102">
        <f>IFERROR(INDEX('I2018'!C$5:C$107,MATCH($C42,'I2018'!$A$5:$A$107,0)),"")</f>
        <v>10337.18</v>
      </c>
      <c r="AP42" s="102">
        <f>IFERROR(INDEX('I2018'!D$5:D$107,MATCH($C42,'I2018'!$A$5:$A$107,0)),"")</f>
        <v>79900.83</v>
      </c>
      <c r="AQ42" s="102">
        <f>IFERROR(INDEX('I2018'!E$5:E$107,MATCH($C42,'I2018'!$A$5:$A$107,0)),"")</f>
        <v>17514.78</v>
      </c>
      <c r="AR42" s="102">
        <f>IFERROR(INDEX('I2018'!F$5:F$107,MATCH($C42,'I2018'!$A$5:$A$107,0)),"")</f>
        <v>20652.64</v>
      </c>
      <c r="AS42" s="102">
        <f>IFERROR(INDEX('I2018'!G$5:G$107,MATCH($C42,'I2018'!$A$5:$A$107,0)),"")</f>
        <v>19564.72</v>
      </c>
      <c r="AT42" s="102">
        <f>IFERROR(INDEX('I2018'!H$5:H$107,MATCH($C42,'I2018'!$A$5:$A$107,0)),"")</f>
        <v>29136.79</v>
      </c>
      <c r="AU42" s="102">
        <f>IFERROR(INDEX('I2018'!I$5:I$107,MATCH($C42,'I2018'!$A$5:$A$107,0)),"")</f>
        <v>38280.89</v>
      </c>
      <c r="AV42" s="102">
        <f>IFERROR(INDEX('I2018'!J$5:J$107,MATCH($C42,'I2018'!$A$5:$A$107,0)),"")</f>
        <v>45260.38</v>
      </c>
      <c r="AW42" s="102">
        <f>IFERROR(INDEX('I2018'!K$5:K$107,MATCH($C42,'I2018'!$A$5:$A$107,0)),"")</f>
        <v>49724.91</v>
      </c>
      <c r="AX42" s="102">
        <f>IFERROR(INDEX('I2018'!L$5:L$107,MATCH($C42,'I2018'!$A$5:$A$107,0)),"")</f>
        <v>64358.8</v>
      </c>
      <c r="AY42" s="102">
        <f>IFERROR(INDEX('I2018'!M$5:M$107,MATCH($C42,'I2018'!$A$5:$A$107,0)),"")</f>
        <v>63071.35</v>
      </c>
      <c r="AZ42" s="102">
        <f>IFERROR(INDEX('I2019'!B$5:B$112,MATCH($C42,'I2019'!$A$5:$A$112,0)),"")</f>
        <v>55164.17</v>
      </c>
      <c r="BA42" s="102">
        <f>IFERROR(INDEX('I2019'!C$5:C$112,MATCH($C42,'I2019'!$A$5:$A$112,0)),"")</f>
        <v>65318.28</v>
      </c>
      <c r="BB42" s="102">
        <f>IFERROR(INDEX('I2019'!D$5:D$112,MATCH($C42,'I2019'!$A$5:$A$112,0)),"")</f>
        <v>76276.27</v>
      </c>
      <c r="BC42" s="102">
        <f>IFERROR(INDEX('I2019'!E$5:E$112,MATCH($C42,'I2019'!$A$5:$A$112,0)),"")</f>
        <v>97731.6</v>
      </c>
      <c r="BD42" s="102">
        <f>IFERROR(INDEX('I2019'!F$5:F$112,MATCH($C42,'I2019'!$A$5:$A$112,0)),"")</f>
        <v>85888.82</v>
      </c>
      <c r="BE42" s="102">
        <f>IFERROR(INDEX('I2019'!G$5:G$112,MATCH($C42,'I2019'!$A$5:$A$112,0)),"")</f>
        <v>89130.03</v>
      </c>
      <c r="BF42" s="102">
        <f>IFERROR(INDEX('I2019'!H$5:H$112,MATCH($C42,'I2019'!$A$5:$A$112,0)),"")</f>
        <v>137924.99</v>
      </c>
      <c r="BG42" s="102">
        <f>IFERROR(INDEX('I2019'!I$5:I$112,MATCH($C42,'I2019'!$A$5:$A$112,0)),"")</f>
        <v>137521.98000000001</v>
      </c>
      <c r="BH42" s="102">
        <f>IFERROR(INDEX('I2019'!J$5:J$112,MATCH($C42,'I2019'!$A$5:$A$112,0)),"")</f>
        <v>123461.62</v>
      </c>
      <c r="BI42" s="102">
        <f>IFERROR(INDEX('I2019'!K$5:K$112,MATCH($C42,'I2019'!$A$5:$A$112,0)),"")</f>
        <v>147445.16</v>
      </c>
      <c r="BJ42" s="102">
        <f>IFERROR(INDEX('I2019'!L$5:L$112,MATCH($C42,'I2019'!$A$5:$A$112,0)),"")</f>
        <v>110723.73</v>
      </c>
      <c r="BK42" s="102">
        <f>IFERROR(INDEX('I2019'!M$5:M$112,MATCH($C42,'I2019'!$A$5:$A$112,0)),"")</f>
        <v>96400.13</v>
      </c>
      <c r="BL42" s="102">
        <f>IFERROR(INDEX('I2020'!B$5:B$113,MATCH($C42,'I2020'!$A$5:$A$113,0)),"")</f>
        <v>101725.29</v>
      </c>
      <c r="BM42" s="102">
        <f>IFERROR(INDEX('I2020'!C$5:C$113,MATCH($C42,'I2020'!$A$5:$A$113,0)),"")</f>
        <v>85643.83</v>
      </c>
      <c r="BN42" s="102">
        <f>IFERROR(INDEX('I2020'!D$5:D$113,MATCH($C42,'I2020'!$A$5:$A$113,0)),"")</f>
        <v>84045.05</v>
      </c>
      <c r="BO42" s="102">
        <f>IFERROR(INDEX('I2020'!E$5:E$113,MATCH($C42,'I2020'!$A$5:$A$113,0)),"")</f>
        <v>97117.73</v>
      </c>
      <c r="BP42" s="102">
        <f>IFERROR(INDEX('I2020'!F$5:F$113,MATCH($C42,'I2020'!$A$5:$A$113,0)),"")</f>
        <v>75101.070000000007</v>
      </c>
      <c r="BQ42" s="392">
        <f>IFERROR(INDEX('I2020'!G$5:G$113,MATCH($C42,'I2020'!$A$5:$A$113,0)),"")</f>
        <v>77488.11</v>
      </c>
      <c r="BR42" s="64">
        <f t="shared" si="79"/>
        <v>118716.80482066948</v>
      </c>
      <c r="BS42" s="64">
        <f t="shared" si="79"/>
        <v>120383.63413444519</v>
      </c>
      <c r="BT42" s="64">
        <f t="shared" si="79"/>
        <v>123241.70900214036</v>
      </c>
      <c r="BU42" s="64">
        <f t="shared" si="79"/>
        <v>127144.25699797152</v>
      </c>
      <c r="BV42" s="64">
        <f t="shared" si="79"/>
        <v>131979.34878241204</v>
      </c>
      <c r="BW42" s="64">
        <f t="shared" si="79"/>
        <v>137663.25880100651</v>
      </c>
      <c r="BX42" s="64">
        <f t="shared" si="79"/>
        <v>142691.58351250825</v>
      </c>
      <c r="BY42" s="64">
        <f t="shared" si="79"/>
        <v>147202.65792878519</v>
      </c>
      <c r="BZ42" s="64">
        <f t="shared" si="79"/>
        <v>151307.25832858842</v>
      </c>
      <c r="CA42" s="64">
        <f t="shared" si="79"/>
        <v>155094.11562821438</v>
      </c>
      <c r="CB42" s="64">
        <f t="shared" si="79"/>
        <v>158634.32610239534</v>
      </c>
      <c r="CC42" s="64">
        <f t="shared" si="79"/>
        <v>161984.87998573744</v>
      </c>
      <c r="CD42" s="64">
        <f t="shared" si="79"/>
        <v>165191.48437896842</v>
      </c>
      <c r="CE42" s="64">
        <f t="shared" si="79"/>
        <v>168290.8215994089</v>
      </c>
      <c r="CF42" s="64">
        <f t="shared" si="79"/>
        <v>171312.35588720482</v>
      </c>
      <c r="CG42" s="64">
        <f t="shared" si="79"/>
        <v>174279.77879655667</v>
      </c>
      <c r="CH42" s="64">
        <f t="shared" si="79"/>
        <v>177212.16553534003</v>
      </c>
      <c r="CI42" s="124">
        <f t="shared" si="79"/>
        <v>180124.9000638382</v>
      </c>
      <c r="CJ42" s="138"/>
    </row>
    <row r="43" spans="1:88" x14ac:dyDescent="0.3">
      <c r="A43" s="33" t="s">
        <v>250</v>
      </c>
      <c r="B43" s="62">
        <v>0.03</v>
      </c>
      <c r="C43" s="21" t="s">
        <v>32</v>
      </c>
      <c r="D43" s="102" t="str">
        <f>IFERROR(INDEX('I2015'!B$5:B$73,MATCH($C43,'I2015'!$A$5:$A$73,0)),"")</f>
        <v/>
      </c>
      <c r="E43" s="102" t="str">
        <f>IFERROR(INDEX('I2015'!C$5:C$73,MATCH($C43,'I2015'!$A$5:$A$73,0)),"")</f>
        <v/>
      </c>
      <c r="F43" s="102" t="str">
        <f>IFERROR(INDEX('I2015'!D$5:D$73,MATCH($C43,'I2015'!$A$5:$A$73,0)),"")</f>
        <v/>
      </c>
      <c r="G43" s="102" t="str">
        <f>IFERROR(INDEX('I2015'!E$5:E$73,MATCH($C43,'I2015'!$A$5:$A$73,0)),"")</f>
        <v/>
      </c>
      <c r="H43" s="102" t="str">
        <f>IFERROR(INDEX('I2015'!F$5:F$73,MATCH($C43,'I2015'!$A$5:$A$73,0)),"")</f>
        <v/>
      </c>
      <c r="I43" s="102" t="str">
        <f>IFERROR(INDEX('I2015'!G$5:G$73,MATCH($C43,'I2015'!$A$5:$A$73,0)),"")</f>
        <v/>
      </c>
      <c r="J43" s="102" t="str">
        <f>IFERROR(INDEX('I2015'!H$5:H$73,MATCH($C43,'I2015'!$A$5:$A$73,0)),"")</f>
        <v/>
      </c>
      <c r="K43" s="102" t="str">
        <f>IFERROR(INDEX('I2015'!I$5:I$73,MATCH($C43,'I2015'!$A$5:$A$73,0)),"")</f>
        <v/>
      </c>
      <c r="L43" s="102" t="str">
        <f>IFERROR(INDEX('I2015'!J$5:J$73,MATCH($C43,'I2015'!$A$5:$A$73,0)),"")</f>
        <v/>
      </c>
      <c r="M43" s="102" t="str">
        <f>IFERROR(INDEX('I2015'!K$5:K$73,MATCH($C43,'I2015'!$A$5:$A$73,0)),"")</f>
        <v/>
      </c>
      <c r="N43" s="102" t="str">
        <f>IFERROR(INDEX('I2015'!L$5:L$73,MATCH($C43,'I2015'!$A$5:$A$73,0)),"")</f>
        <v/>
      </c>
      <c r="O43" s="102" t="str">
        <f>IFERROR(INDEX('I2015'!M$5:M$73,MATCH($C43,'I2015'!$A$5:$A$73,0)),"")</f>
        <v/>
      </c>
      <c r="P43" s="102" t="str">
        <f>IFERROR(INDEX('I2016'!B$5:B$90,MATCH($C43,'I2016'!$A$5:$A$90,0)),"")</f>
        <v/>
      </c>
      <c r="Q43" s="102" t="str">
        <f>IFERROR(INDEX('I2016'!C$5:C$90,MATCH($C43,'I2016'!$A$5:$A$90,0)),"")</f>
        <v/>
      </c>
      <c r="R43" s="102" t="str">
        <f>IFERROR(INDEX('I2016'!D$5:D$90,MATCH($C43,'I2016'!$A$5:$A$90,0)),"")</f>
        <v/>
      </c>
      <c r="S43" s="102" t="str">
        <f>IFERROR(INDEX('I2016'!E$5:E$90,MATCH($C43,'I2016'!$A$5:$A$90,0)),"")</f>
        <v/>
      </c>
      <c r="T43" s="102" t="str">
        <f>IFERROR(INDEX('I2016'!F$5:F$90,MATCH($C43,'I2016'!$A$5:$A$90,0)),"")</f>
        <v/>
      </c>
      <c r="U43" s="102" t="str">
        <f>IFERROR(INDEX('I2016'!G$5:G$90,MATCH($C43,'I2016'!$A$5:$A$90,0)),"")</f>
        <v/>
      </c>
      <c r="V43" s="102" t="str">
        <f>IFERROR(INDEX('I2016'!H$5:H$90,MATCH($C43,'I2016'!$A$5:$A$90,0)),"")</f>
        <v/>
      </c>
      <c r="W43" s="102" t="str">
        <f>IFERROR(INDEX('I2016'!I$5:I$90,MATCH($C43,'I2016'!$A$5:$A$90,0)),"")</f>
        <v/>
      </c>
      <c r="X43" s="102" t="str">
        <f>IFERROR(INDEX('I2016'!J$5:J$90,MATCH($C43,'I2016'!$A$5:$A$90,0)),"")</f>
        <v/>
      </c>
      <c r="Y43" s="102" t="str">
        <f>IFERROR(INDEX('I2016'!K$5:K$90,MATCH($C43,'I2016'!$A$5:$A$90,0)),"")</f>
        <v/>
      </c>
      <c r="Z43" s="102" t="str">
        <f>IFERROR(INDEX('I2016'!L$5:L$90,MATCH($C43,'I2016'!$A$5:$A$90,0)),"")</f>
        <v/>
      </c>
      <c r="AA43" s="102" t="str">
        <f>IFERROR(INDEX('I2016'!M$5:M$90,MATCH($C43,'I2016'!$A$5:$A$90,0)),"")</f>
        <v/>
      </c>
      <c r="AB43" s="102">
        <f>IFERROR(INDEX('I2017'!B$5:B$96,MATCH($C43,'I2017'!$A$5:$A$96,0)),"")</f>
        <v>5316.12</v>
      </c>
      <c r="AC43" s="102">
        <f>IFERROR(INDEX('I2017'!C$5:C$96,MATCH($C43,'I2017'!$A$5:$A$96,0)),"")</f>
        <v>4237.49</v>
      </c>
      <c r="AD43" s="102">
        <f>IFERROR(INDEX('I2017'!D$5:D$96,MATCH($C43,'I2017'!$A$5:$A$96,0)),"")</f>
        <v>6701.26</v>
      </c>
      <c r="AE43" s="102">
        <f>IFERROR(INDEX('I2017'!E$5:E$96,MATCH($C43,'I2017'!$A$5:$A$96,0)),"")</f>
        <v>5330.57</v>
      </c>
      <c r="AF43" s="102">
        <f>IFERROR(INDEX('I2017'!F$5:F$96,MATCH($C43,'I2017'!$A$5:$A$96,0)),"")</f>
        <v>7189.04</v>
      </c>
      <c r="AG43" s="102">
        <f>IFERROR(INDEX('I2017'!G$5:G$96,MATCH($C43,'I2017'!$A$5:$A$96,0)),"")</f>
        <v>8649.19</v>
      </c>
      <c r="AH43" s="102">
        <f>IFERROR(INDEX('I2017'!H$5:H$96,MATCH($C43,'I2017'!$A$5:$A$96,0)),"")</f>
        <v>5664.12</v>
      </c>
      <c r="AI43" s="102">
        <f>IFERROR(INDEX('I2017'!I$5:I$96,MATCH($C43,'I2017'!$A$5:$A$96,0)),"")</f>
        <v>8430.07</v>
      </c>
      <c r="AJ43" s="102">
        <f>IFERROR(INDEX('I2017'!J$5:J$96,MATCH($C43,'I2017'!$A$5:$A$96,0)),"")</f>
        <v>8408.08</v>
      </c>
      <c r="AK43" s="102">
        <f>IFERROR(INDEX('I2017'!K$5:K$96,MATCH($C43,'I2017'!$A$5:$A$96,0)),"")</f>
        <v>19785.060000000001</v>
      </c>
      <c r="AL43" s="102">
        <f>IFERROR(INDEX('I2017'!L$5:L$96,MATCH($C43,'I2017'!$A$5:$A$96,0)),"")</f>
        <v>9265.18</v>
      </c>
      <c r="AM43" s="102">
        <f>IFERROR(INDEX('I2017'!M$5:M$96,MATCH($C43,'I2017'!$A$5:$A$96,0)),"")</f>
        <v>10533.51</v>
      </c>
      <c r="AN43" s="102">
        <f>IFERROR(INDEX('I2018'!B$5:B$107,MATCH($C43,'I2018'!$A$5:$A$107,0)),"")</f>
        <v>11910.77</v>
      </c>
      <c r="AO43" s="102">
        <f>IFERROR(INDEX('I2018'!C$5:C$107,MATCH($C43,'I2018'!$A$5:$A$107,0)),"")</f>
        <v>9802.76</v>
      </c>
      <c r="AP43" s="102">
        <f>IFERROR(INDEX('I2018'!D$5:D$107,MATCH($C43,'I2018'!$A$5:$A$107,0)),"")</f>
        <v>34198.080000000002</v>
      </c>
      <c r="AQ43" s="102">
        <f>IFERROR(INDEX('I2018'!E$5:E$107,MATCH($C43,'I2018'!$A$5:$A$107,0)),"")</f>
        <v>33153.94</v>
      </c>
      <c r="AR43" s="102">
        <f>IFERROR(INDEX('I2018'!F$5:F$107,MATCH($C43,'I2018'!$A$5:$A$107,0)),"")</f>
        <v>25195.06</v>
      </c>
      <c r="AS43" s="102">
        <f>IFERROR(INDEX('I2018'!G$5:G$107,MATCH($C43,'I2018'!$A$5:$A$107,0)),"")</f>
        <v>40418.480000000003</v>
      </c>
      <c r="AT43" s="102">
        <f>IFERROR(INDEX('I2018'!H$5:H$107,MATCH($C43,'I2018'!$A$5:$A$107,0)),"")</f>
        <v>32441.18</v>
      </c>
      <c r="AU43" s="102">
        <f>IFERROR(INDEX('I2018'!I$5:I$107,MATCH($C43,'I2018'!$A$5:$A$107,0)),"")</f>
        <v>40477.57</v>
      </c>
      <c r="AV43" s="102">
        <f>IFERROR(INDEX('I2018'!J$5:J$107,MATCH($C43,'I2018'!$A$5:$A$107,0)),"")</f>
        <v>38073.75</v>
      </c>
      <c r="AW43" s="102">
        <f>IFERROR(INDEX('I2018'!K$5:K$107,MATCH($C43,'I2018'!$A$5:$A$107,0)),"")</f>
        <v>124642.01</v>
      </c>
      <c r="AX43" s="102">
        <f>IFERROR(INDEX('I2018'!L$5:L$107,MATCH($C43,'I2018'!$A$5:$A$107,0)),"")</f>
        <v>45747.61</v>
      </c>
      <c r="AY43" s="102">
        <f>IFERROR(INDEX('I2018'!M$5:M$107,MATCH($C43,'I2018'!$A$5:$A$107,0)),"")</f>
        <v>79880.13</v>
      </c>
      <c r="AZ43" s="102">
        <f>IFERROR(INDEX('I2019'!B$5:B$112,MATCH($C43,'I2019'!$A$5:$A$112,0)),"")</f>
        <v>95416.9</v>
      </c>
      <c r="BA43" s="102">
        <f>IFERROR(INDEX('I2019'!C$5:C$112,MATCH($C43,'I2019'!$A$5:$A$112,0)),"")</f>
        <v>64050.86</v>
      </c>
      <c r="BB43" s="102">
        <f>IFERROR(INDEX('I2019'!D$5:D$112,MATCH($C43,'I2019'!$A$5:$A$112,0)),"")</f>
        <v>82041.8</v>
      </c>
      <c r="BC43" s="102">
        <f>IFERROR(INDEX('I2019'!E$5:E$112,MATCH($C43,'I2019'!$A$5:$A$112,0)),"")</f>
        <v>100772.15</v>
      </c>
      <c r="BD43" s="102">
        <f>IFERROR(INDEX('I2019'!F$5:F$112,MATCH($C43,'I2019'!$A$5:$A$112,0)),"")</f>
        <v>67108.59</v>
      </c>
      <c r="BE43" s="102">
        <f>IFERROR(INDEX('I2019'!G$5:G$112,MATCH($C43,'I2019'!$A$5:$A$112,0)),"")</f>
        <v>31957.75</v>
      </c>
      <c r="BF43" s="102">
        <f>IFERROR(INDEX('I2019'!H$5:H$112,MATCH($C43,'I2019'!$A$5:$A$112,0)),"")</f>
        <v>82572.47</v>
      </c>
      <c r="BG43" s="102">
        <f>IFERROR(INDEX('I2019'!I$5:I$112,MATCH($C43,'I2019'!$A$5:$A$112,0)),"")</f>
        <v>87206.21</v>
      </c>
      <c r="BH43" s="102">
        <f>IFERROR(INDEX('I2019'!J$5:J$112,MATCH($C43,'I2019'!$A$5:$A$112,0)),"")</f>
        <v>56939.199999999997</v>
      </c>
      <c r="BI43" s="102">
        <f>IFERROR(INDEX('I2019'!K$5:K$112,MATCH($C43,'I2019'!$A$5:$A$112,0)),"")</f>
        <v>79108.22</v>
      </c>
      <c r="BJ43" s="102">
        <f>IFERROR(INDEX('I2019'!L$5:L$112,MATCH($C43,'I2019'!$A$5:$A$112,0)),"")</f>
        <v>47757.14</v>
      </c>
      <c r="BK43" s="102">
        <f>IFERROR(INDEX('I2019'!M$5:M$112,MATCH($C43,'I2019'!$A$5:$A$112,0)),"")</f>
        <v>68218.83</v>
      </c>
      <c r="BL43" s="102">
        <f>IFERROR(INDEX('I2020'!B$5:B$113,MATCH($C43,'I2020'!$A$5:$A$113,0)),"")</f>
        <v>52715.75</v>
      </c>
      <c r="BM43" s="102">
        <f>IFERROR(INDEX('I2020'!C$5:C$113,MATCH($C43,'I2020'!$A$5:$A$113,0)),"")</f>
        <v>62378.82</v>
      </c>
      <c r="BN43" s="102">
        <f>IFERROR(INDEX('I2020'!D$5:D$113,MATCH($C43,'I2020'!$A$5:$A$113,0)),"")</f>
        <v>50012.88</v>
      </c>
      <c r="BO43" s="102">
        <f>IFERROR(INDEX('I2020'!E$5:E$113,MATCH($C43,'I2020'!$A$5:$A$113,0)),"")</f>
        <v>56950.46</v>
      </c>
      <c r="BP43" s="102">
        <f>IFERROR(INDEX('I2020'!F$5:F$113,MATCH($C43,'I2020'!$A$5:$A$113,0)),"")</f>
        <v>71224.479999999996</v>
      </c>
      <c r="BQ43" s="392">
        <f>IFERROR(INDEX('I2020'!G$5:G$113,MATCH($C43,'I2020'!$A$5:$A$113,0)),"")</f>
        <v>45943.1</v>
      </c>
      <c r="BR43" s="64">
        <f t="shared" si="79"/>
        <v>84797.717729049618</v>
      </c>
      <c r="BS43" s="64">
        <f t="shared" si="79"/>
        <v>85988.310096032277</v>
      </c>
      <c r="BT43" s="64">
        <f t="shared" si="79"/>
        <v>88029.792144385952</v>
      </c>
      <c r="BU43" s="64">
        <f t="shared" si="79"/>
        <v>90817.326427122505</v>
      </c>
      <c r="BV43" s="64">
        <f t="shared" si="79"/>
        <v>94270.963416008584</v>
      </c>
      <c r="BW43" s="64">
        <f t="shared" si="79"/>
        <v>98330.899143576054</v>
      </c>
      <c r="BX43" s="64">
        <f t="shared" si="79"/>
        <v>101922.55965179161</v>
      </c>
      <c r="BY43" s="64">
        <f t="shared" si="79"/>
        <v>105144.75566341798</v>
      </c>
      <c r="BZ43" s="64">
        <f t="shared" si="79"/>
        <v>108076.61309184886</v>
      </c>
      <c r="CA43" s="64">
        <f t="shared" si="79"/>
        <v>110781.51116301026</v>
      </c>
      <c r="CB43" s="64">
        <f t="shared" si="79"/>
        <v>113310.23293028238</v>
      </c>
      <c r="CC43" s="64">
        <f t="shared" si="79"/>
        <v>115703.48570409816</v>
      </c>
      <c r="CD43" s="64">
        <f t="shared" si="79"/>
        <v>117993.91741354887</v>
      </c>
      <c r="CE43" s="64">
        <f t="shared" si="79"/>
        <v>120207.72971386349</v>
      </c>
      <c r="CF43" s="64">
        <f t="shared" si="79"/>
        <v>122365.96849086057</v>
      </c>
      <c r="CG43" s="64">
        <f t="shared" si="79"/>
        <v>124485.55628325474</v>
      </c>
      <c r="CH43" s="64">
        <f t="shared" si="79"/>
        <v>126580.11823952857</v>
      </c>
      <c r="CI43" s="124">
        <f t="shared" si="79"/>
        <v>128660.64290274154</v>
      </c>
      <c r="CJ43" s="138"/>
    </row>
    <row r="44" spans="1:88" x14ac:dyDescent="0.3">
      <c r="A44" s="33" t="s">
        <v>251</v>
      </c>
      <c r="B44" s="62">
        <v>8.0000000000000002E-3</v>
      </c>
      <c r="C44" s="21" t="s">
        <v>33</v>
      </c>
      <c r="D44" s="102" t="str">
        <f>IFERROR(INDEX('I2015'!B$5:B$73,MATCH($C44,'I2015'!$A$5:$A$73,0)),"")</f>
        <v/>
      </c>
      <c r="E44" s="102" t="str">
        <f>IFERROR(INDEX('I2015'!C$5:C$73,MATCH($C44,'I2015'!$A$5:$A$73,0)),"")</f>
        <v/>
      </c>
      <c r="F44" s="102" t="str">
        <f>IFERROR(INDEX('I2015'!D$5:D$73,MATCH($C44,'I2015'!$A$5:$A$73,0)),"")</f>
        <v/>
      </c>
      <c r="G44" s="102" t="str">
        <f>IFERROR(INDEX('I2015'!E$5:E$73,MATCH($C44,'I2015'!$A$5:$A$73,0)),"")</f>
        <v/>
      </c>
      <c r="H44" s="102" t="str">
        <f>IFERROR(INDEX('I2015'!F$5:F$73,MATCH($C44,'I2015'!$A$5:$A$73,0)),"")</f>
        <v/>
      </c>
      <c r="I44" s="102" t="str">
        <f>IFERROR(INDEX('I2015'!G$5:G$73,MATCH($C44,'I2015'!$A$5:$A$73,0)),"")</f>
        <v/>
      </c>
      <c r="J44" s="102" t="str">
        <f>IFERROR(INDEX('I2015'!H$5:H$73,MATCH($C44,'I2015'!$A$5:$A$73,0)),"")</f>
        <v/>
      </c>
      <c r="K44" s="102" t="str">
        <f>IFERROR(INDEX('I2015'!I$5:I$73,MATCH($C44,'I2015'!$A$5:$A$73,0)),"")</f>
        <v/>
      </c>
      <c r="L44" s="102" t="str">
        <f>IFERROR(INDEX('I2015'!J$5:J$73,MATCH($C44,'I2015'!$A$5:$A$73,0)),"")</f>
        <v/>
      </c>
      <c r="M44" s="102" t="str">
        <f>IFERROR(INDEX('I2015'!K$5:K$73,MATCH($C44,'I2015'!$A$5:$A$73,0)),"")</f>
        <v/>
      </c>
      <c r="N44" s="102" t="str">
        <f>IFERROR(INDEX('I2015'!L$5:L$73,MATCH($C44,'I2015'!$A$5:$A$73,0)),"")</f>
        <v/>
      </c>
      <c r="O44" s="102" t="str">
        <f>IFERROR(INDEX('I2015'!M$5:M$73,MATCH($C44,'I2015'!$A$5:$A$73,0)),"")</f>
        <v/>
      </c>
      <c r="P44" s="102">
        <f>IFERROR(INDEX('I2016'!B$5:B$90,MATCH($C44,'I2016'!$A$5:$A$90,0)),"")</f>
        <v>623.73</v>
      </c>
      <c r="Q44" s="102">
        <f>IFERROR(INDEX('I2016'!C$5:C$90,MATCH($C44,'I2016'!$A$5:$A$90,0)),"")</f>
        <v>775.16</v>
      </c>
      <c r="R44" s="102">
        <f>IFERROR(INDEX('I2016'!D$5:D$90,MATCH($C44,'I2016'!$A$5:$A$90,0)),"")</f>
        <v>743.5</v>
      </c>
      <c r="S44" s="102">
        <f>IFERROR(INDEX('I2016'!E$5:E$90,MATCH($C44,'I2016'!$A$5:$A$90,0)),"")</f>
        <v>749.62</v>
      </c>
      <c r="T44" s="102">
        <f>IFERROR(INDEX('I2016'!F$5:F$90,MATCH($C44,'I2016'!$A$5:$A$90,0)),"")</f>
        <v>1237.3499999999999</v>
      </c>
      <c r="U44" s="102">
        <f>IFERROR(INDEX('I2016'!G$5:G$90,MATCH($C44,'I2016'!$A$5:$A$90,0)),"")</f>
        <v>748.69</v>
      </c>
      <c r="V44" s="102">
        <f>IFERROR(INDEX('I2016'!H$5:H$90,MATCH($C44,'I2016'!$A$5:$A$90,0)),"")</f>
        <v>1380.55</v>
      </c>
      <c r="W44" s="102">
        <f>IFERROR(INDEX('I2016'!I$5:I$90,MATCH($C44,'I2016'!$A$5:$A$90,0)),"")</f>
        <v>587.91</v>
      </c>
      <c r="X44" s="102">
        <f>IFERROR(INDEX('I2016'!J$5:J$90,MATCH($C44,'I2016'!$A$5:$A$90,0)),"")</f>
        <v>933.35</v>
      </c>
      <c r="Y44" s="102">
        <f>IFERROR(INDEX('I2016'!K$5:K$90,MATCH($C44,'I2016'!$A$5:$A$90,0)),"")</f>
        <v>919.46</v>
      </c>
      <c r="Z44" s="102">
        <f>IFERROR(INDEX('I2016'!L$5:L$90,MATCH($C44,'I2016'!$A$5:$A$90,0)),"")</f>
        <v>893.72</v>
      </c>
      <c r="AA44" s="102">
        <f>IFERROR(INDEX('I2016'!M$5:M$90,MATCH($C44,'I2016'!$A$5:$A$90,0)),"")</f>
        <v>0</v>
      </c>
      <c r="AB44" s="102">
        <f>IFERROR(INDEX('I2017'!B$5:B$96,MATCH($C44,'I2017'!$A$5:$A$96,0)),"")</f>
        <v>1235.45</v>
      </c>
      <c r="AC44" s="102">
        <f>IFERROR(INDEX('I2017'!C$5:C$96,MATCH($C44,'I2017'!$A$5:$A$96,0)),"")</f>
        <v>1261.52</v>
      </c>
      <c r="AD44" s="102">
        <f>IFERROR(INDEX('I2017'!D$5:D$96,MATCH($C44,'I2017'!$A$5:$A$96,0)),"")</f>
        <v>2953.44</v>
      </c>
      <c r="AE44" s="102">
        <f>IFERROR(INDEX('I2017'!E$5:E$96,MATCH($C44,'I2017'!$A$5:$A$96,0)),"")</f>
        <v>1787.31</v>
      </c>
      <c r="AF44" s="102">
        <f>IFERROR(INDEX('I2017'!F$5:F$96,MATCH($C44,'I2017'!$A$5:$A$96,0)),"")</f>
        <v>0</v>
      </c>
      <c r="AG44" s="102">
        <f>IFERROR(INDEX('I2017'!G$5:G$96,MATCH($C44,'I2017'!$A$5:$A$96,0)),"")</f>
        <v>2110.4299999999998</v>
      </c>
      <c r="AH44" s="102">
        <f>IFERROR(INDEX('I2017'!H$5:H$96,MATCH($C44,'I2017'!$A$5:$A$96,0)),"")</f>
        <v>2101.2800000000002</v>
      </c>
      <c r="AI44" s="102">
        <f>IFERROR(INDEX('I2017'!I$5:I$96,MATCH($C44,'I2017'!$A$5:$A$96,0)),"")</f>
        <v>2010.09</v>
      </c>
      <c r="AJ44" s="102">
        <f>IFERROR(INDEX('I2017'!J$5:J$96,MATCH($C44,'I2017'!$A$5:$A$96,0)),"")</f>
        <v>0</v>
      </c>
      <c r="AK44" s="102">
        <f>IFERROR(INDEX('I2017'!K$5:K$96,MATCH($C44,'I2017'!$A$5:$A$96,0)),"")</f>
        <v>4972.68</v>
      </c>
      <c r="AL44" s="102">
        <f>IFERROR(INDEX('I2017'!L$5:L$96,MATCH($C44,'I2017'!$A$5:$A$96,0)),"")</f>
        <v>2617.33</v>
      </c>
      <c r="AM44" s="102">
        <f>IFERROR(INDEX('I2017'!M$5:M$96,MATCH($C44,'I2017'!$A$5:$A$96,0)),"")</f>
        <v>2550.9</v>
      </c>
      <c r="AN44" s="102">
        <f>IFERROR(INDEX('I2018'!B$5:B$107,MATCH($C44,'I2018'!$A$5:$A$107,0)),"")</f>
        <v>2676.91</v>
      </c>
      <c r="AO44" s="102">
        <f>IFERROR(INDEX('I2018'!C$5:C$107,MATCH($C44,'I2018'!$A$5:$A$107,0)),"")</f>
        <v>3586.37</v>
      </c>
      <c r="AP44" s="102">
        <f>IFERROR(INDEX('I2018'!D$5:D$107,MATCH($C44,'I2018'!$A$5:$A$107,0)),"")</f>
        <v>3221.18</v>
      </c>
      <c r="AQ44" s="102">
        <f>IFERROR(INDEX('I2018'!E$5:E$107,MATCH($C44,'I2018'!$A$5:$A$107,0)),"")</f>
        <v>5103.84</v>
      </c>
      <c r="AR44" s="102">
        <f>IFERROR(INDEX('I2018'!F$5:F$107,MATCH($C44,'I2018'!$A$5:$A$107,0)),"")</f>
        <v>6464.09</v>
      </c>
      <c r="AS44" s="102">
        <f>IFERROR(INDEX('I2018'!G$5:G$107,MATCH($C44,'I2018'!$A$5:$A$107,0)),"")</f>
        <v>0</v>
      </c>
      <c r="AT44" s="102">
        <f>IFERROR(INDEX('I2018'!H$5:H$107,MATCH($C44,'I2018'!$A$5:$A$107,0)),"")</f>
        <v>7382.5</v>
      </c>
      <c r="AU44" s="102">
        <f>IFERROR(INDEX('I2018'!I$5:I$107,MATCH($C44,'I2018'!$A$5:$A$107,0)),"")</f>
        <v>8159.64</v>
      </c>
      <c r="AV44" s="102">
        <f>IFERROR(INDEX('I2018'!J$5:J$107,MATCH($C44,'I2018'!$A$5:$A$107,0)),"")</f>
        <v>10651.51</v>
      </c>
      <c r="AW44" s="102">
        <f>IFERROR(INDEX('I2018'!K$5:K$107,MATCH($C44,'I2018'!$A$5:$A$107,0)),"")</f>
        <v>11029.96</v>
      </c>
      <c r="AX44" s="102">
        <f>IFERROR(INDEX('I2018'!L$5:L$107,MATCH($C44,'I2018'!$A$5:$A$107,0)),"")</f>
        <v>13697.03</v>
      </c>
      <c r="AY44" s="102">
        <f>IFERROR(INDEX('I2018'!M$5:M$107,MATCH($C44,'I2018'!$A$5:$A$107,0)),"")</f>
        <v>13431.05</v>
      </c>
      <c r="AZ44" s="102">
        <f>IFERROR(INDEX('I2019'!B$5:B$112,MATCH($C44,'I2019'!$A$5:$A$112,0)),"")</f>
        <v>12822.82</v>
      </c>
      <c r="BA44" s="102">
        <f>IFERROR(INDEX('I2019'!C$5:C$112,MATCH($C44,'I2019'!$A$5:$A$112,0)),"")</f>
        <v>15444.33</v>
      </c>
      <c r="BB44" s="102">
        <f>IFERROR(INDEX('I2019'!D$5:D$112,MATCH($C44,'I2019'!$A$5:$A$112,0)),"")</f>
        <v>14859.69</v>
      </c>
      <c r="BC44" s="102">
        <f>IFERROR(INDEX('I2019'!E$5:E$112,MATCH($C44,'I2019'!$A$5:$A$112,0)),"")</f>
        <v>15215.15</v>
      </c>
      <c r="BD44" s="102">
        <f>IFERROR(INDEX('I2019'!F$5:F$112,MATCH($C44,'I2019'!$A$5:$A$112,0)),"")</f>
        <v>16172.74</v>
      </c>
      <c r="BE44" s="102">
        <f>IFERROR(INDEX('I2019'!G$5:G$112,MATCH($C44,'I2019'!$A$5:$A$112,0)),"")</f>
        <v>15746.96</v>
      </c>
      <c r="BF44" s="102">
        <f>IFERROR(INDEX('I2019'!H$5:H$112,MATCH($C44,'I2019'!$A$5:$A$112,0)),"")</f>
        <v>14356.75</v>
      </c>
      <c r="BG44" s="102">
        <f>IFERROR(INDEX('I2019'!I$5:I$112,MATCH($C44,'I2019'!$A$5:$A$112,0)),"")</f>
        <v>17458.849999999999</v>
      </c>
      <c r="BH44" s="102">
        <f>IFERROR(INDEX('I2019'!J$5:J$112,MATCH($C44,'I2019'!$A$5:$A$112,0)),"")</f>
        <v>17076.23</v>
      </c>
      <c r="BI44" s="102">
        <f>IFERROR(INDEX('I2019'!K$5:K$112,MATCH($C44,'I2019'!$A$5:$A$112,0)),"")</f>
        <v>13436.85</v>
      </c>
      <c r="BJ44" s="102">
        <f>IFERROR(INDEX('I2019'!L$5:L$112,MATCH($C44,'I2019'!$A$5:$A$112,0)),"")</f>
        <v>24969.7</v>
      </c>
      <c r="BK44" s="102">
        <f>IFERROR(INDEX('I2019'!M$5:M$112,MATCH($C44,'I2019'!$A$5:$A$112,0)),"")</f>
        <v>22995.43</v>
      </c>
      <c r="BL44" s="102">
        <f>IFERROR(INDEX('I2020'!B$5:B$113,MATCH($C44,'I2020'!$A$5:$A$113,0)),"")</f>
        <v>26159.24</v>
      </c>
      <c r="BM44" s="102">
        <f>IFERROR(INDEX('I2020'!C$5:C$113,MATCH($C44,'I2020'!$A$5:$A$113,0)),"")</f>
        <v>26786.69</v>
      </c>
      <c r="BN44" s="102">
        <f>IFERROR(INDEX('I2020'!D$5:D$113,MATCH($C44,'I2020'!$A$5:$A$113,0)),"")</f>
        <v>38662.21</v>
      </c>
      <c r="BO44" s="102">
        <f>IFERROR(INDEX('I2020'!E$5:E$113,MATCH($C44,'I2020'!$A$5:$A$113,0)),"")</f>
        <v>97890.6</v>
      </c>
      <c r="BP44" s="102">
        <f>IFERROR(INDEX('I2020'!F$5:F$113,MATCH($C44,'I2020'!$A$5:$A$113,0)),"")</f>
        <v>70365.23</v>
      </c>
      <c r="BQ44" s="392">
        <f>IFERROR(INDEX('I2020'!G$5:G$113,MATCH($C44,'I2020'!$A$5:$A$113,0)),"")</f>
        <v>0</v>
      </c>
      <c r="BR44" s="64">
        <f t="shared" si="79"/>
        <v>22612.724727746565</v>
      </c>
      <c r="BS44" s="64">
        <f t="shared" si="79"/>
        <v>22930.216025608606</v>
      </c>
      <c r="BT44" s="64">
        <f t="shared" si="79"/>
        <v>23474.611238502923</v>
      </c>
      <c r="BU44" s="64">
        <f t="shared" si="79"/>
        <v>24217.953713899336</v>
      </c>
      <c r="BV44" s="64">
        <f t="shared" si="79"/>
        <v>25138.923577602291</v>
      </c>
      <c r="BW44" s="64">
        <f t="shared" si="79"/>
        <v>26221.573104953619</v>
      </c>
      <c r="BX44" s="64">
        <f t="shared" si="79"/>
        <v>27179.349240477764</v>
      </c>
      <c r="BY44" s="64">
        <f t="shared" si="79"/>
        <v>28038.601510244796</v>
      </c>
      <c r="BZ44" s="64">
        <f t="shared" si="79"/>
        <v>28820.430157826366</v>
      </c>
      <c r="CA44" s="64">
        <f t="shared" si="79"/>
        <v>29541.736310136072</v>
      </c>
      <c r="CB44" s="64">
        <f t="shared" si="79"/>
        <v>30216.06211474197</v>
      </c>
      <c r="CC44" s="64">
        <f t="shared" si="79"/>
        <v>30854.262854426175</v>
      </c>
      <c r="CD44" s="64">
        <f t="shared" si="79"/>
        <v>31465.044643613033</v>
      </c>
      <c r="CE44" s="64">
        <f t="shared" si="79"/>
        <v>32055.394590363601</v>
      </c>
      <c r="CF44" s="64">
        <f t="shared" si="79"/>
        <v>32630.924930896152</v>
      </c>
      <c r="CG44" s="64">
        <f t="shared" si="79"/>
        <v>33196.148342201268</v>
      </c>
      <c r="CH44" s="64">
        <f t="shared" si="79"/>
        <v>33754.698197207625</v>
      </c>
      <c r="CI44" s="124">
        <f t="shared" si="79"/>
        <v>34309.504774064415</v>
      </c>
      <c r="CJ44" s="138"/>
    </row>
    <row r="45" spans="1:88" ht="21.6" x14ac:dyDescent="0.3">
      <c r="A45" s="33"/>
      <c r="B45" s="68"/>
      <c r="C45" s="21" t="s">
        <v>34</v>
      </c>
      <c r="D45" s="22" t="str">
        <f>IFERROR(INDEX('I2015'!B$5:B$73,MATCH($C45,'I2015'!$A$5:$A$73,0)),"")</f>
        <v/>
      </c>
      <c r="E45" s="22" t="str">
        <f>IFERROR(INDEX('I2015'!C$5:C$73,MATCH($C45,'I2015'!$A$5:$A$73,0)),"")</f>
        <v/>
      </c>
      <c r="F45" s="22" t="str">
        <f>IFERROR(INDEX('I2015'!D$5:D$73,MATCH($C45,'I2015'!$A$5:$A$73,0)),"")</f>
        <v/>
      </c>
      <c r="G45" s="22" t="str">
        <f>IFERROR(INDEX('I2015'!E$5:E$73,MATCH($C45,'I2015'!$A$5:$A$73,0)),"")</f>
        <v/>
      </c>
      <c r="H45" s="22" t="str">
        <f>IFERROR(INDEX('I2015'!F$5:F$73,MATCH($C45,'I2015'!$A$5:$A$73,0)),"")</f>
        <v/>
      </c>
      <c r="I45" s="22" t="str">
        <f>IFERROR(INDEX('I2015'!G$5:G$73,MATCH($C45,'I2015'!$A$5:$A$73,0)),"")</f>
        <v/>
      </c>
      <c r="J45" s="22" t="str">
        <f>IFERROR(INDEX('I2015'!H$5:H$73,MATCH($C45,'I2015'!$A$5:$A$73,0)),"")</f>
        <v/>
      </c>
      <c r="K45" s="22" t="str">
        <f>IFERROR(INDEX('I2015'!I$5:I$73,MATCH($C45,'I2015'!$A$5:$A$73,0)),"")</f>
        <v/>
      </c>
      <c r="L45" s="22" t="str">
        <f>IFERROR(INDEX('I2015'!J$5:J$73,MATCH($C45,'I2015'!$A$5:$A$73,0)),"")</f>
        <v/>
      </c>
      <c r="M45" s="22" t="str">
        <f>IFERROR(INDEX('I2015'!K$5:K$73,MATCH($C45,'I2015'!$A$5:$A$73,0)),"")</f>
        <v/>
      </c>
      <c r="N45" s="22" t="str">
        <f>IFERROR(INDEX('I2015'!L$5:L$73,MATCH($C45,'I2015'!$A$5:$A$73,0)),"")</f>
        <v/>
      </c>
      <c r="O45" s="22" t="str">
        <f>IFERROR(INDEX('I2015'!M$5:M$73,MATCH($C45,'I2015'!$A$5:$A$73,0)),"")</f>
        <v/>
      </c>
      <c r="P45" s="22" t="str">
        <f>IFERROR(INDEX('I2016'!B$5:B$90,MATCH($C45,'I2016'!$A$5:$A$90,0)),"")</f>
        <v/>
      </c>
      <c r="Q45" s="22" t="str">
        <f>IFERROR(INDEX('I2016'!C$5:C$90,MATCH($C45,'I2016'!$A$5:$A$90,0)),"")</f>
        <v/>
      </c>
      <c r="R45" s="22" t="str">
        <f>IFERROR(INDEX('I2016'!D$5:D$90,MATCH($C45,'I2016'!$A$5:$A$90,0)),"")</f>
        <v/>
      </c>
      <c r="S45" s="22" t="str">
        <f>IFERROR(INDEX('I2016'!E$5:E$90,MATCH($C45,'I2016'!$A$5:$A$90,0)),"")</f>
        <v/>
      </c>
      <c r="T45" s="22" t="str">
        <f>IFERROR(INDEX('I2016'!F$5:F$90,MATCH($C45,'I2016'!$A$5:$A$90,0)),"")</f>
        <v/>
      </c>
      <c r="U45" s="22" t="str">
        <f>IFERROR(INDEX('I2016'!G$5:G$90,MATCH($C45,'I2016'!$A$5:$A$90,0)),"")</f>
        <v/>
      </c>
      <c r="V45" s="22" t="str">
        <f>IFERROR(INDEX('I2016'!H$5:H$90,MATCH($C45,'I2016'!$A$5:$A$90,0)),"")</f>
        <v/>
      </c>
      <c r="W45" s="22" t="str">
        <f>IFERROR(INDEX('I2016'!I$5:I$90,MATCH($C45,'I2016'!$A$5:$A$90,0)),"")</f>
        <v/>
      </c>
      <c r="X45" s="22" t="str">
        <f>IFERROR(INDEX('I2016'!J$5:J$90,MATCH($C45,'I2016'!$A$5:$A$90,0)),"")</f>
        <v/>
      </c>
      <c r="Y45" s="22" t="str">
        <f>IFERROR(INDEX('I2016'!K$5:K$90,MATCH($C45,'I2016'!$A$5:$A$90,0)),"")</f>
        <v/>
      </c>
      <c r="Z45" s="22" t="str">
        <f>IFERROR(INDEX('I2016'!L$5:L$90,MATCH($C45,'I2016'!$A$5:$A$90,0)),"")</f>
        <v/>
      </c>
      <c r="AA45" s="22" t="str">
        <f>IFERROR(INDEX('I2016'!M$5:M$90,MATCH($C45,'I2016'!$A$5:$A$90,0)),"")</f>
        <v/>
      </c>
      <c r="AB45" s="22">
        <f>IFERROR(INDEX('I2017'!B$5:B$96,MATCH($C45,'I2017'!$A$5:$A$96,0)),"")</f>
        <v>62.62</v>
      </c>
      <c r="AC45" s="22">
        <f>IFERROR(INDEX('I2017'!C$5:C$96,MATCH($C45,'I2017'!$A$5:$A$96,0)),"")</f>
        <v>0</v>
      </c>
      <c r="AD45" s="22">
        <f>IFERROR(INDEX('I2017'!D$5:D$96,MATCH($C45,'I2017'!$A$5:$A$96,0)),"")</f>
        <v>0</v>
      </c>
      <c r="AE45" s="22">
        <f>IFERROR(INDEX('I2017'!E$5:E$96,MATCH($C45,'I2017'!$A$5:$A$96,0)),"")</f>
        <v>444.58</v>
      </c>
      <c r="AF45" s="22">
        <f>IFERROR(INDEX('I2017'!F$5:F$96,MATCH($C45,'I2017'!$A$5:$A$96,0)),"")</f>
        <v>741.55</v>
      </c>
      <c r="AG45" s="22">
        <f>IFERROR(INDEX('I2017'!G$5:G$96,MATCH($C45,'I2017'!$A$5:$A$96,0)),"")</f>
        <v>1524.94</v>
      </c>
      <c r="AH45" s="22">
        <f>IFERROR(INDEX('I2017'!H$5:H$96,MATCH($C45,'I2017'!$A$5:$A$96,0)),"")</f>
        <v>677.14</v>
      </c>
      <c r="AI45" s="22">
        <f>IFERROR(INDEX('I2017'!I$5:I$96,MATCH($C45,'I2017'!$A$5:$A$96,0)),"")</f>
        <v>677.22</v>
      </c>
      <c r="AJ45" s="22">
        <f>IFERROR(INDEX('I2017'!J$5:J$96,MATCH($C45,'I2017'!$A$5:$A$96,0)),"")</f>
        <v>2299.0100000000002</v>
      </c>
      <c r="AK45" s="22">
        <f>IFERROR(INDEX('I2017'!K$5:K$96,MATCH($C45,'I2017'!$A$5:$A$96,0)),"")</f>
        <v>0</v>
      </c>
      <c r="AL45" s="22">
        <f>IFERROR(INDEX('I2017'!L$5:L$96,MATCH($C45,'I2017'!$A$5:$A$96,0)),"")</f>
        <v>54.6</v>
      </c>
      <c r="AM45" s="22">
        <f>IFERROR(INDEX('I2017'!M$5:M$96,MATCH($C45,'I2017'!$A$5:$A$96,0)),"")</f>
        <v>1296.22</v>
      </c>
      <c r="AN45" s="22">
        <f>IFERROR(INDEX('I2018'!B$5:B$107,MATCH($C45,'I2018'!$A$5:$A$107,0)),"")</f>
        <v>0</v>
      </c>
      <c r="AO45" s="22">
        <f>IFERROR(INDEX('I2018'!C$5:C$107,MATCH($C45,'I2018'!$A$5:$A$107,0)),"")</f>
        <v>1352.96</v>
      </c>
      <c r="AP45" s="22">
        <f>IFERROR(INDEX('I2018'!D$5:D$107,MATCH($C45,'I2018'!$A$5:$A$107,0)),"")</f>
        <v>0</v>
      </c>
      <c r="AQ45" s="22">
        <f>IFERROR(INDEX('I2018'!E$5:E$107,MATCH($C45,'I2018'!$A$5:$A$107,0)),"")</f>
        <v>72.3</v>
      </c>
      <c r="AR45" s="22">
        <f>IFERROR(INDEX('I2018'!F$5:F$107,MATCH($C45,'I2018'!$A$5:$A$107,0)),"")</f>
        <v>0</v>
      </c>
      <c r="AS45" s="22">
        <f>IFERROR(INDEX('I2018'!G$5:G$107,MATCH($C45,'I2018'!$A$5:$A$107,0)),"")</f>
        <v>2727.6</v>
      </c>
      <c r="AT45" s="22">
        <f>IFERROR(INDEX('I2018'!H$5:H$107,MATCH($C45,'I2018'!$A$5:$A$107,0)),"")</f>
        <v>0</v>
      </c>
      <c r="AU45" s="22">
        <f>IFERROR(INDEX('I2018'!I$5:I$107,MATCH($C45,'I2018'!$A$5:$A$107,0)),"")</f>
        <v>1353.24</v>
      </c>
      <c r="AV45" s="22">
        <f>IFERROR(INDEX('I2018'!J$5:J$107,MATCH($C45,'I2018'!$A$5:$A$107,0)),"")</f>
        <v>0</v>
      </c>
      <c r="AW45" s="22">
        <f>IFERROR(INDEX('I2018'!K$5:K$107,MATCH($C45,'I2018'!$A$5:$A$107,0)),"")</f>
        <v>0</v>
      </c>
      <c r="AX45" s="22">
        <f>IFERROR(INDEX('I2018'!L$5:L$107,MATCH($C45,'I2018'!$A$5:$A$107,0)),"")</f>
        <v>0</v>
      </c>
      <c r="AY45" s="22">
        <f>IFERROR(INDEX('I2018'!M$5:M$107,MATCH($C45,'I2018'!$A$5:$A$107,0)),"")</f>
        <v>0</v>
      </c>
      <c r="AZ45" s="22" t="str">
        <f>IFERROR(INDEX('I2019'!B$5:B$112,MATCH($C45,'I2019'!$A$5:$A$112,0)),"")</f>
        <v/>
      </c>
      <c r="BA45" s="22" t="str">
        <f>IFERROR(INDEX('I2019'!C$5:C$112,MATCH($C45,'I2019'!$A$5:$A$112,0)),"")</f>
        <v/>
      </c>
      <c r="BB45" s="22" t="str">
        <f>IFERROR(INDEX('I2019'!D$5:D$112,MATCH($C45,'I2019'!$A$5:$A$112,0)),"")</f>
        <v/>
      </c>
      <c r="BC45" s="22" t="str">
        <f>IFERROR(INDEX('I2019'!E$5:E$112,MATCH($C45,'I2019'!$A$5:$A$112,0)),"")</f>
        <v/>
      </c>
      <c r="BD45" s="22" t="str">
        <f>IFERROR(INDEX('I2019'!F$5:F$112,MATCH($C45,'I2019'!$A$5:$A$112,0)),"")</f>
        <v/>
      </c>
      <c r="BE45" s="22" t="str">
        <f>IFERROR(INDEX('I2019'!G$5:G$112,MATCH($C45,'I2019'!$A$5:$A$112,0)),"")</f>
        <v/>
      </c>
      <c r="BF45" s="22" t="str">
        <f>IFERROR(INDEX('I2019'!H$5:H$112,MATCH($C45,'I2019'!$A$5:$A$112,0)),"")</f>
        <v/>
      </c>
      <c r="BG45" s="22" t="str">
        <f>IFERROR(INDEX('I2019'!I$5:I$112,MATCH($C45,'I2019'!$A$5:$A$112,0)),"")</f>
        <v/>
      </c>
      <c r="BH45" s="22" t="str">
        <f>IFERROR(INDEX('I2019'!J$5:J$112,MATCH($C45,'I2019'!$A$5:$A$112,0)),"")</f>
        <v/>
      </c>
      <c r="BI45" s="22" t="str">
        <f>IFERROR(INDEX('I2019'!K$5:K$112,MATCH($C45,'I2019'!$A$5:$A$112,0)),"")</f>
        <v/>
      </c>
      <c r="BJ45" s="22" t="str">
        <f>IFERROR(INDEX('I2019'!L$5:L$112,MATCH($C45,'I2019'!$A$5:$A$112,0)),"")</f>
        <v/>
      </c>
      <c r="BK45" s="22" t="str">
        <f>IFERROR(INDEX('I2019'!M$5:M$112,MATCH($C45,'I2019'!$A$5:$A$112,0)),"")</f>
        <v/>
      </c>
      <c r="BL45" s="22" t="str">
        <f>IFERROR(INDEX('I2020'!B$5:B$113,MATCH($C45,'I2020'!$A$5:$A$113,0)),"")</f>
        <v/>
      </c>
      <c r="BM45" s="22" t="str">
        <f>IFERROR(INDEX('I2020'!C$5:C$113,MATCH($C45,'I2020'!$A$5:$A$113,0)),"")</f>
        <v/>
      </c>
      <c r="BN45" s="22" t="str">
        <f>IFERROR(INDEX('I2020'!D$5:D$113,MATCH($C45,'I2020'!$A$5:$A$113,0)),"")</f>
        <v/>
      </c>
      <c r="BO45" s="22" t="str">
        <f>IFERROR(INDEX('I2020'!E$5:E$113,MATCH($C45,'I2020'!$A$5:$A$113,0)),"")</f>
        <v/>
      </c>
      <c r="BP45" s="22" t="str">
        <f>IFERROR(INDEX('I2020'!F$5:F$113,MATCH($C45,'I2020'!$A$5:$A$113,0)),"")</f>
        <v/>
      </c>
      <c r="BQ45" s="393" t="str">
        <f>IFERROR(INDEX('I2020'!G$5:G$113,MATCH($C45,'I2020'!$A$5:$A$113,0)),"")</f>
        <v/>
      </c>
      <c r="BR45" s="65"/>
      <c r="BS45" s="65"/>
      <c r="BT45" s="65"/>
      <c r="BU45" s="65"/>
      <c r="BV45" s="65"/>
      <c r="BW45" s="65"/>
      <c r="BX45" s="65"/>
      <c r="BY45" s="65"/>
      <c r="BZ45" s="65"/>
      <c r="CA45" s="65"/>
      <c r="CB45" s="65"/>
      <c r="CC45" s="65"/>
      <c r="CD45" s="65"/>
      <c r="CE45" s="65"/>
      <c r="CF45" s="65"/>
      <c r="CG45" s="65"/>
      <c r="CH45" s="65"/>
      <c r="CI45" s="125"/>
      <c r="CJ45" s="138"/>
    </row>
    <row r="46" spans="1:88" x14ac:dyDescent="0.3">
      <c r="A46" s="33"/>
      <c r="B46" s="166"/>
      <c r="C46" s="26" t="s">
        <v>35</v>
      </c>
      <c r="D46" s="23">
        <f>IFERROR(INDEX('I2015'!B$5:B$73,MATCH($C46,'I2015'!$A$5:$A$73,0)),"")</f>
        <v>3609.89</v>
      </c>
      <c r="E46" s="23">
        <f>IFERROR(INDEX('I2015'!C$5:C$73,MATCH($C46,'I2015'!$A$5:$A$73,0)),"")</f>
        <v>3537.63</v>
      </c>
      <c r="F46" s="23">
        <f>IFERROR(INDEX('I2015'!D$5:D$73,MATCH($C46,'I2015'!$A$5:$A$73,0)),"")</f>
        <v>3866.84</v>
      </c>
      <c r="G46" s="23">
        <f>IFERROR(INDEX('I2015'!E$5:E$73,MATCH($C46,'I2015'!$A$5:$A$73,0)),"")</f>
        <v>4344.43</v>
      </c>
      <c r="H46" s="23">
        <f>IFERROR(INDEX('I2015'!F$5:F$73,MATCH($C46,'I2015'!$A$5:$A$73,0)),"")</f>
        <v>5373.33</v>
      </c>
      <c r="I46" s="23">
        <f>IFERROR(INDEX('I2015'!G$5:G$73,MATCH($C46,'I2015'!$A$5:$A$73,0)),"")</f>
        <v>6788.74</v>
      </c>
      <c r="J46" s="23">
        <f>IFERROR(INDEX('I2015'!H$5:H$73,MATCH($C46,'I2015'!$A$5:$A$73,0)),"")</f>
        <v>5265.08</v>
      </c>
      <c r="K46" s="23">
        <f>IFERROR(INDEX('I2015'!I$5:I$73,MATCH($C46,'I2015'!$A$5:$A$73,0)),"")</f>
        <v>6519.54</v>
      </c>
      <c r="L46" s="23">
        <f>IFERROR(INDEX('I2015'!J$5:J$73,MATCH($C46,'I2015'!$A$5:$A$73,0)),"")</f>
        <v>6530.95</v>
      </c>
      <c r="M46" s="23">
        <f>IFERROR(INDEX('I2015'!K$5:K$73,MATCH($C46,'I2015'!$A$5:$A$73,0)),"")</f>
        <v>8697.58</v>
      </c>
      <c r="N46" s="23">
        <f>IFERROR(INDEX('I2015'!L$5:L$73,MATCH($C46,'I2015'!$A$5:$A$73,0)),"")</f>
        <v>10146.61</v>
      </c>
      <c r="O46" s="23">
        <f>IFERROR(INDEX('I2015'!M$5:M$73,MATCH($C46,'I2015'!$A$5:$A$73,0)),"")</f>
        <v>10888.81</v>
      </c>
      <c r="P46" s="23">
        <f>IFERROR(INDEX('I2016'!B$5:B$90,MATCH($C46,'I2016'!$A$5:$A$90,0)),"")</f>
        <v>14933.279999999999</v>
      </c>
      <c r="Q46" s="23">
        <f>IFERROR(INDEX('I2016'!C$5:C$90,MATCH($C46,'I2016'!$A$5:$A$90,0)),"")</f>
        <v>21996.79</v>
      </c>
      <c r="R46" s="23">
        <f>IFERROR(INDEX('I2016'!D$5:D$90,MATCH($C46,'I2016'!$A$5:$A$90,0)),"")</f>
        <v>19803.75</v>
      </c>
      <c r="S46" s="23">
        <f>IFERROR(INDEX('I2016'!E$5:E$90,MATCH($C46,'I2016'!$A$5:$A$90,0)),"")</f>
        <v>21940.59</v>
      </c>
      <c r="T46" s="23">
        <f>IFERROR(INDEX('I2016'!F$5:F$90,MATCH($C46,'I2016'!$A$5:$A$90,0)),"")</f>
        <v>20859.71</v>
      </c>
      <c r="U46" s="23">
        <f>IFERROR(INDEX('I2016'!G$5:G$90,MATCH($C46,'I2016'!$A$5:$A$90,0)),"")</f>
        <v>24792.05</v>
      </c>
      <c r="V46" s="23">
        <f>IFERROR(INDEX('I2016'!H$5:H$90,MATCH($C46,'I2016'!$A$5:$A$90,0)),"")</f>
        <v>20243.019999999997</v>
      </c>
      <c r="W46" s="23">
        <f>IFERROR(INDEX('I2016'!I$5:I$90,MATCH($C46,'I2016'!$A$5:$A$90,0)),"")</f>
        <v>20926.480000000003</v>
      </c>
      <c r="X46" s="23">
        <f>IFERROR(INDEX('I2016'!J$5:J$90,MATCH($C46,'I2016'!$A$5:$A$90,0)),"")</f>
        <v>18864.409999999996</v>
      </c>
      <c r="Y46" s="23">
        <f>IFERROR(INDEX('I2016'!K$5:K$90,MATCH($C46,'I2016'!$A$5:$A$90,0)),"")</f>
        <v>43239.79</v>
      </c>
      <c r="Z46" s="23">
        <f>IFERROR(INDEX('I2016'!L$5:L$90,MATCH($C46,'I2016'!$A$5:$A$90,0)),"")</f>
        <v>26220.42</v>
      </c>
      <c r="AA46" s="23">
        <f>IFERROR(INDEX('I2016'!M$5:M$90,MATCH($C46,'I2016'!$A$5:$A$90,0)),"")</f>
        <v>26477.489999999998</v>
      </c>
      <c r="AB46" s="23">
        <f>IFERROR(INDEX('I2017'!B$5:B$96,MATCH($C46,'I2017'!$A$5:$A$96,0)),"")</f>
        <v>82688.159999999989</v>
      </c>
      <c r="AC46" s="23">
        <f>IFERROR(INDEX('I2017'!C$5:C$96,MATCH($C46,'I2017'!$A$5:$A$96,0)),"")</f>
        <v>89699.860000000015</v>
      </c>
      <c r="AD46" s="23">
        <f>IFERROR(INDEX('I2017'!D$5:D$96,MATCH($C46,'I2017'!$A$5:$A$96,0)),"")</f>
        <v>133507.13999999998</v>
      </c>
      <c r="AE46" s="23">
        <f>IFERROR(INDEX('I2017'!E$5:E$96,MATCH($C46,'I2017'!$A$5:$A$96,0)),"")</f>
        <v>130283.77</v>
      </c>
      <c r="AF46" s="23">
        <f>IFERROR(INDEX('I2017'!F$5:F$96,MATCH($C46,'I2017'!$A$5:$A$96,0)),"")</f>
        <v>144119.22</v>
      </c>
      <c r="AG46" s="23">
        <f>IFERROR(INDEX('I2017'!G$5:G$96,MATCH($C46,'I2017'!$A$5:$A$96,0)),"")</f>
        <v>156875.96</v>
      </c>
      <c r="AH46" s="23">
        <f>IFERROR(INDEX('I2017'!H$5:H$96,MATCH($C46,'I2017'!$A$5:$A$96,0)),"")</f>
        <v>138479.13</v>
      </c>
      <c r="AI46" s="23">
        <f>IFERROR(INDEX('I2017'!I$5:I$96,MATCH($C46,'I2017'!$A$5:$A$96,0)),"")</f>
        <v>158077.51000000004</v>
      </c>
      <c r="AJ46" s="23">
        <f>IFERROR(INDEX('I2017'!J$5:J$96,MATCH($C46,'I2017'!$A$5:$A$96,0)),"")</f>
        <v>180358.55</v>
      </c>
      <c r="AK46" s="23">
        <f>IFERROR(INDEX('I2017'!K$5:K$96,MATCH($C46,'I2017'!$A$5:$A$96,0)),"")</f>
        <v>196423.79</v>
      </c>
      <c r="AL46" s="23">
        <f>IFERROR(INDEX('I2017'!L$5:L$96,MATCH($C46,'I2017'!$A$5:$A$96,0)),"")</f>
        <v>177970.38</v>
      </c>
      <c r="AM46" s="23">
        <f>IFERROR(INDEX('I2017'!M$5:M$96,MATCH($C46,'I2017'!$A$5:$A$96,0)),"")</f>
        <v>200352.95</v>
      </c>
      <c r="AN46" s="23">
        <f>IFERROR(INDEX('I2018'!B$5:B$107,MATCH($C46,'I2018'!$A$5:$A$107,0)),"")</f>
        <v>221415.95999999996</v>
      </c>
      <c r="AO46" s="23">
        <f>IFERROR(INDEX('I2018'!C$5:C$107,MATCH($C46,'I2018'!$A$5:$A$107,0)),"")</f>
        <v>213350.05</v>
      </c>
      <c r="AP46" s="23">
        <f>IFERROR(INDEX('I2018'!D$5:D$107,MATCH($C46,'I2018'!$A$5:$A$107,0)),"")</f>
        <v>516507.62</v>
      </c>
      <c r="AQ46" s="23">
        <f>IFERROR(INDEX('I2018'!E$5:E$107,MATCH($C46,'I2018'!$A$5:$A$107,0)),"")</f>
        <v>507435.71</v>
      </c>
      <c r="AR46" s="23">
        <f>IFERROR(INDEX('I2018'!F$5:F$107,MATCH($C46,'I2018'!$A$5:$A$107,0)),"")</f>
        <v>525772.30000000005</v>
      </c>
      <c r="AS46" s="23">
        <f>IFERROR(INDEX('I2018'!G$5:G$107,MATCH($C46,'I2018'!$A$5:$A$107,0)),"")</f>
        <v>572190.53999999992</v>
      </c>
      <c r="AT46" s="23">
        <f>IFERROR(INDEX('I2018'!H$5:H$107,MATCH($C46,'I2018'!$A$5:$A$107,0)),"")</f>
        <v>622552.45000000007</v>
      </c>
      <c r="AU46" s="23">
        <f>IFERROR(INDEX('I2018'!I$5:I$107,MATCH($C46,'I2018'!$A$5:$A$107,0)),"")</f>
        <v>819599.15999999992</v>
      </c>
      <c r="AV46" s="23">
        <f>IFERROR(INDEX('I2018'!J$5:J$107,MATCH($C46,'I2018'!$A$5:$A$107,0)),"")</f>
        <v>821518.32</v>
      </c>
      <c r="AW46" s="23">
        <f>IFERROR(INDEX('I2018'!K$5:K$107,MATCH($C46,'I2018'!$A$5:$A$107,0)),"")</f>
        <v>1064433.8399999999</v>
      </c>
      <c r="AX46" s="23">
        <f>IFERROR(INDEX('I2018'!L$5:L$107,MATCH($C46,'I2018'!$A$5:$A$107,0)),"")</f>
        <v>1052208.54</v>
      </c>
      <c r="AY46" s="23">
        <f>IFERROR(INDEX('I2018'!M$5:M$107,MATCH($C46,'I2018'!$A$5:$A$107,0)),"")</f>
        <v>1224555.4099999999</v>
      </c>
      <c r="AZ46" s="23">
        <f>IFERROR(INDEX('I2019'!B$5:B$112,MATCH($C46,'I2019'!$A$5:$A$112,0)),"")</f>
        <v>1279660.8899999999</v>
      </c>
      <c r="BA46" s="23">
        <f>IFERROR(INDEX('I2019'!C$5:C$112,MATCH($C46,'I2019'!$A$5:$A$112,0)),"")</f>
        <v>1159333.5200000003</v>
      </c>
      <c r="BB46" s="23">
        <f>IFERROR(INDEX('I2019'!D$5:D$112,MATCH($C46,'I2019'!$A$5:$A$112,0)),"")</f>
        <v>1259018.8499999999</v>
      </c>
      <c r="BC46" s="23">
        <f>IFERROR(INDEX('I2019'!E$5:E$112,MATCH($C46,'I2019'!$A$5:$A$112,0)),"")</f>
        <v>1256033.3500000001</v>
      </c>
      <c r="BD46" s="23">
        <f>IFERROR(INDEX('I2019'!F$5:F$112,MATCH($C46,'I2019'!$A$5:$A$112,0)),"")</f>
        <v>1238383.52</v>
      </c>
      <c r="BE46" s="23">
        <f>IFERROR(INDEX('I2019'!G$5:G$112,MATCH($C46,'I2019'!$A$5:$A$112,0)),"")</f>
        <v>1211937.25</v>
      </c>
      <c r="BF46" s="23">
        <f>IFERROR(INDEX('I2019'!H$5:H$112,MATCH($C46,'I2019'!$A$5:$A$112,0)),"")</f>
        <v>1282789.8800000001</v>
      </c>
      <c r="BG46" s="23">
        <f>IFERROR(INDEX('I2019'!I$5:I$112,MATCH($C46,'I2019'!$A$5:$A$112,0)),"")</f>
        <v>1559731.62</v>
      </c>
      <c r="BH46" s="23">
        <f>IFERROR(INDEX('I2019'!J$5:J$112,MATCH($C46,'I2019'!$A$5:$A$112,0)),"")</f>
        <v>1231106.1199999999</v>
      </c>
      <c r="BI46" s="23">
        <f>IFERROR(INDEX('I2019'!K$5:K$112,MATCH($C46,'I2019'!$A$5:$A$112,0)),"")</f>
        <v>1225452.3</v>
      </c>
      <c r="BJ46" s="23">
        <f>IFERROR(INDEX('I2019'!L$5:L$112,MATCH($C46,'I2019'!$A$5:$A$112,0)),"")</f>
        <v>1224916.0999999999</v>
      </c>
      <c r="BK46" s="23">
        <f>IFERROR(INDEX('I2019'!M$5:M$112,MATCH($C46,'I2019'!$A$5:$A$112,0)),"")</f>
        <v>1485105.41</v>
      </c>
      <c r="BL46" s="23">
        <f>IFERROR(INDEX('I2020'!B$5:B$113,MATCH($C46,'I2020'!$A$5:$A$113,0)),"")</f>
        <v>1183684.1100000001</v>
      </c>
      <c r="BM46" s="23">
        <f>IFERROR(INDEX('I2020'!C$5:C$113,MATCH($C46,'I2020'!$A$5:$A$113,0)),"")</f>
        <v>1328528.58</v>
      </c>
      <c r="BN46" s="23">
        <f>IFERROR(INDEX('I2020'!D$5:D$113,MATCH($C46,'I2020'!$A$5:$A$113,0)),"")</f>
        <v>1366871.4799999997</v>
      </c>
      <c r="BO46" s="23">
        <f>IFERROR(INDEX('I2020'!E$5:E$113,MATCH($C46,'I2020'!$A$5:$A$113,0)),"")</f>
        <v>1241629.44</v>
      </c>
      <c r="BP46" s="23">
        <f>IFERROR(INDEX('I2020'!F$5:F$113,MATCH($C46,'I2020'!$A$5:$A$113,0)),"")</f>
        <v>1224296.1300000001</v>
      </c>
      <c r="BQ46" s="396">
        <f>IFERROR(INDEX('I2020'!G$5:G$113,MATCH($C46,'I2020'!$A$5:$A$113,0)),"")</f>
        <v>1187491.6900000002</v>
      </c>
      <c r="BR46" s="66">
        <f t="shared" ref="BQ46:CI46" si="80">SUM(BR33:BR45)</f>
        <v>1639422.5427616262</v>
      </c>
      <c r="BS46" s="66">
        <f t="shared" si="80"/>
        <v>1662440.6618566238</v>
      </c>
      <c r="BT46" s="66">
        <f t="shared" si="80"/>
        <v>1701909.3147914619</v>
      </c>
      <c r="BU46" s="66">
        <f t="shared" si="80"/>
        <v>1755801.6442577019</v>
      </c>
      <c r="BV46" s="66">
        <f t="shared" si="80"/>
        <v>1822571.9593761659</v>
      </c>
      <c r="BW46" s="66">
        <f t="shared" si="80"/>
        <v>1901064.0501091373</v>
      </c>
      <c r="BX46" s="66">
        <f t="shared" si="80"/>
        <v>1970502.8199346378</v>
      </c>
      <c r="BY46" s="66">
        <f t="shared" si="80"/>
        <v>2032798.6094927478</v>
      </c>
      <c r="BZ46" s="66">
        <f t="shared" si="80"/>
        <v>2089481.1864424113</v>
      </c>
      <c r="CA46" s="66">
        <f t="shared" si="80"/>
        <v>2141775.8824848649</v>
      </c>
      <c r="CB46" s="66">
        <f t="shared" si="80"/>
        <v>2190664.5033187931</v>
      </c>
      <c r="CC46" s="66">
        <f t="shared" si="80"/>
        <v>2236934.0569458976</v>
      </c>
      <c r="CD46" s="66">
        <f t="shared" si="80"/>
        <v>2281215.736661945</v>
      </c>
      <c r="CE46" s="66">
        <f t="shared" si="80"/>
        <v>2324016.107801361</v>
      </c>
      <c r="CF46" s="66">
        <f t="shared" si="80"/>
        <v>2365742.0574899707</v>
      </c>
      <c r="CG46" s="66">
        <f t="shared" si="80"/>
        <v>2406720.7548095919</v>
      </c>
      <c r="CH46" s="66">
        <f t="shared" si="80"/>
        <v>2447215.6192975524</v>
      </c>
      <c r="CI46" s="150">
        <f t="shared" si="80"/>
        <v>2487439.0961196702</v>
      </c>
      <c r="CJ46" s="271"/>
    </row>
    <row r="47" spans="1:88" x14ac:dyDescent="0.3">
      <c r="A47" s="33"/>
      <c r="B47" s="166"/>
      <c r="C47" s="80" t="s">
        <v>256</v>
      </c>
      <c r="D47" s="81"/>
      <c r="E47" s="81"/>
      <c r="F47" s="81"/>
      <c r="G47" s="81"/>
      <c r="H47" s="81"/>
      <c r="I47" s="81"/>
      <c r="J47" s="81"/>
      <c r="K47" s="81"/>
      <c r="L47" s="81"/>
      <c r="M47" s="81"/>
      <c r="N47" s="81"/>
      <c r="O47" s="81"/>
      <c r="P47" s="81"/>
      <c r="Q47" s="81"/>
      <c r="R47" s="81"/>
      <c r="S47" s="81"/>
      <c r="T47" s="81"/>
      <c r="U47" s="81"/>
      <c r="V47" s="81"/>
      <c r="W47" s="81"/>
      <c r="X47" s="81"/>
      <c r="Y47" s="81"/>
      <c r="Z47" s="81"/>
      <c r="AA47" s="81"/>
      <c r="AB47" s="81"/>
      <c r="AC47" s="81"/>
      <c r="AD47" s="81"/>
      <c r="AE47" s="81"/>
      <c r="AF47" s="81"/>
      <c r="AG47" s="81"/>
      <c r="AH47" s="81"/>
      <c r="AI47" s="81"/>
      <c r="AJ47" s="81"/>
      <c r="AK47" s="81"/>
      <c r="AL47" s="81"/>
      <c r="AM47" s="81"/>
      <c r="AN47" s="81"/>
      <c r="AO47" s="81"/>
      <c r="AP47" s="81"/>
      <c r="AQ47" s="81"/>
      <c r="AR47" s="81"/>
      <c r="AS47" s="81"/>
      <c r="AT47" s="81"/>
      <c r="AU47" s="81"/>
      <c r="AV47" s="81"/>
      <c r="AW47" s="81"/>
      <c r="AX47" s="81"/>
      <c r="AY47" s="81"/>
      <c r="AZ47" s="81"/>
      <c r="BA47" s="81"/>
      <c r="BB47" s="81"/>
      <c r="BC47" s="81"/>
      <c r="BD47" s="81"/>
      <c r="BE47" s="81"/>
      <c r="BF47" s="81"/>
      <c r="BG47" s="81"/>
      <c r="BH47" s="81"/>
      <c r="BI47" s="81"/>
      <c r="BJ47" s="81"/>
      <c r="BK47" s="81"/>
      <c r="BL47" s="81" t="str">
        <f>IFERROR(INDEX('I2020'!B$5:B$113,MATCH($C47,'I2020'!$A$5:$A$113,0)),"")</f>
        <v/>
      </c>
      <c r="BM47" s="81" t="str">
        <f>IFERROR(INDEX('I2020'!C$5:C$113,MATCH($C47,'I2020'!$A$5:$A$113,0)),"")</f>
        <v/>
      </c>
      <c r="BN47" s="81" t="str">
        <f>IFERROR(INDEX('I2020'!D$5:D$113,MATCH($C47,'I2020'!$A$5:$A$113,0)),"")</f>
        <v/>
      </c>
      <c r="BO47" s="81" t="str">
        <f>IFERROR(INDEX('I2020'!E$5:E$113,MATCH($C47,'I2020'!$A$5:$A$113,0)),"")</f>
        <v/>
      </c>
      <c r="BP47" s="81" t="str">
        <f>IFERROR(INDEX('I2020'!F$5:F$113,MATCH($C47,'I2020'!$A$5:$A$113,0)),"")</f>
        <v/>
      </c>
      <c r="BQ47" s="397" t="str">
        <f>IFERROR(INDEX('I2020'!G$5:G$113,MATCH($C47,'I2020'!$A$5:$A$113,0)),"")</f>
        <v/>
      </c>
      <c r="BR47" s="151"/>
      <c r="BS47" s="151"/>
      <c r="BT47" s="151"/>
      <c r="BU47" s="151"/>
      <c r="BV47" s="151"/>
      <c r="BW47" s="151"/>
      <c r="BX47" s="151"/>
      <c r="BY47" s="151"/>
      <c r="BZ47" s="151"/>
      <c r="CA47" s="151"/>
      <c r="CB47" s="151"/>
      <c r="CC47" s="151"/>
      <c r="CD47" s="151"/>
      <c r="CE47" s="151"/>
      <c r="CF47" s="151"/>
      <c r="CG47" s="151"/>
      <c r="CH47" s="151"/>
      <c r="CI47" s="152"/>
      <c r="CJ47" s="271"/>
    </row>
    <row r="48" spans="1:88" x14ac:dyDescent="0.3">
      <c r="A48" s="33"/>
      <c r="B48" s="54"/>
      <c r="C48" s="26" t="s">
        <v>36</v>
      </c>
      <c r="D48" s="78">
        <f>IFERROR(INDEX('I2015'!B$5:B$73,MATCH($C48,'I2015'!$A$5:$A$73,0)),"")</f>
        <v>15790.91</v>
      </c>
      <c r="E48" s="78">
        <f>IFERROR(INDEX('I2015'!C$5:C$73,MATCH($C48,'I2015'!$A$5:$A$73,0)),"")</f>
        <v>11073.91</v>
      </c>
      <c r="F48" s="78">
        <f>IFERROR(INDEX('I2015'!D$5:D$73,MATCH($C48,'I2015'!$A$5:$A$73,0)),"")</f>
        <v>12476.13</v>
      </c>
      <c r="G48" s="78">
        <f>IFERROR(INDEX('I2015'!E$5:E$73,MATCH($C48,'I2015'!$A$5:$A$73,0)),"")</f>
        <v>15576.869999999999</v>
      </c>
      <c r="H48" s="78">
        <f>IFERROR(INDEX('I2015'!F$5:F$73,MATCH($C48,'I2015'!$A$5:$A$73,0)),"")</f>
        <v>22916.46</v>
      </c>
      <c r="I48" s="78">
        <f>IFERROR(INDEX('I2015'!G$5:G$73,MATCH($C48,'I2015'!$A$5:$A$73,0)),"")</f>
        <v>17164.86</v>
      </c>
      <c r="J48" s="78">
        <f>IFERROR(INDEX('I2015'!H$5:H$73,MATCH($C48,'I2015'!$A$5:$A$73,0)),"")</f>
        <v>25566.839999999997</v>
      </c>
      <c r="K48" s="78">
        <f>IFERROR(INDEX('I2015'!I$5:I$73,MATCH($C48,'I2015'!$A$5:$A$73,0)),"")</f>
        <v>32836.799999999996</v>
      </c>
      <c r="L48" s="78">
        <f>IFERROR(INDEX('I2015'!J$5:J$73,MATCH($C48,'I2015'!$A$5:$A$73,0)),"")</f>
        <v>42829.01</v>
      </c>
      <c r="M48" s="78">
        <f>IFERROR(INDEX('I2015'!K$5:K$73,MATCH($C48,'I2015'!$A$5:$A$73,0)),"")</f>
        <v>47611.06</v>
      </c>
      <c r="N48" s="78">
        <f>IFERROR(INDEX('I2015'!L$5:L$73,MATCH($C48,'I2015'!$A$5:$A$73,0)),"")</f>
        <v>45945.35</v>
      </c>
      <c r="O48" s="78">
        <f>IFERROR(INDEX('I2015'!M$5:M$73,MATCH($C48,'I2015'!$A$5:$A$73,0)),"")</f>
        <v>50609.920000000006</v>
      </c>
      <c r="P48" s="78">
        <f>IFERROR(INDEX('I2016'!B$5:B$90,MATCH($C48,'I2016'!$A$5:$A$90,0)),"")</f>
        <v>59298.009999999995</v>
      </c>
      <c r="Q48" s="78">
        <f>IFERROR(INDEX('I2016'!C$5:C$90,MATCH($C48,'I2016'!$A$5:$A$90,0)),"")</f>
        <v>89344.65</v>
      </c>
      <c r="R48" s="78">
        <f>IFERROR(INDEX('I2016'!D$5:D$90,MATCH($C48,'I2016'!$A$5:$A$90,0)),"")</f>
        <v>87008.53</v>
      </c>
      <c r="S48" s="78">
        <f>IFERROR(INDEX('I2016'!E$5:E$90,MATCH($C48,'I2016'!$A$5:$A$90,0)),"")</f>
        <v>86096.260000000009</v>
      </c>
      <c r="T48" s="78">
        <f>IFERROR(INDEX('I2016'!F$5:F$90,MATCH($C48,'I2016'!$A$5:$A$90,0)),"")</f>
        <v>79860.070000000007</v>
      </c>
      <c r="U48" s="78">
        <f>IFERROR(INDEX('I2016'!G$5:G$90,MATCH($C48,'I2016'!$A$5:$A$90,0)),"")</f>
        <v>96079.969999999987</v>
      </c>
      <c r="V48" s="78">
        <f>IFERROR(INDEX('I2016'!H$5:H$90,MATCH($C48,'I2016'!$A$5:$A$90,0)),"")</f>
        <v>85278.210000000021</v>
      </c>
      <c r="W48" s="78">
        <f>IFERROR(INDEX('I2016'!I$5:I$90,MATCH($C48,'I2016'!$A$5:$A$90,0)),"")</f>
        <v>107861.22999999998</v>
      </c>
      <c r="X48" s="78">
        <f>IFERROR(INDEX('I2016'!J$5:J$90,MATCH($C48,'I2016'!$A$5:$A$90,0)),"")</f>
        <v>104978.13</v>
      </c>
      <c r="Y48" s="78">
        <f>IFERROR(INDEX('I2016'!K$5:K$90,MATCH($C48,'I2016'!$A$5:$A$90,0)),"")</f>
        <v>94250.25</v>
      </c>
      <c r="Z48" s="78">
        <f>IFERROR(INDEX('I2016'!L$5:L$90,MATCH($C48,'I2016'!$A$5:$A$90,0)),"")</f>
        <v>122489.77</v>
      </c>
      <c r="AA48" s="78">
        <f>IFERROR(INDEX('I2016'!M$5:M$90,MATCH($C48,'I2016'!$A$5:$A$90,0)),"")</f>
        <v>115274.9</v>
      </c>
      <c r="AB48" s="78">
        <f>IFERROR(INDEX('I2017'!B$5:B$96,MATCH($C48,'I2017'!$A$5:$A$96,0)),"")</f>
        <v>58647.630000000019</v>
      </c>
      <c r="AC48" s="78">
        <f>IFERROR(INDEX('I2017'!C$5:C$96,MATCH($C48,'I2017'!$A$5:$A$96,0)),"")</f>
        <v>68560.31</v>
      </c>
      <c r="AD48" s="78">
        <f>IFERROR(INDEX('I2017'!D$5:D$96,MATCH($C48,'I2017'!$A$5:$A$96,0)),"")</f>
        <v>116381.87</v>
      </c>
      <c r="AE48" s="78">
        <f>IFERROR(INDEX('I2017'!E$5:E$96,MATCH($C48,'I2017'!$A$5:$A$96,0)),"")</f>
        <v>110164.79</v>
      </c>
      <c r="AF48" s="78">
        <f>IFERROR(INDEX('I2017'!F$5:F$96,MATCH($C48,'I2017'!$A$5:$A$96,0)),"")</f>
        <v>134495.47</v>
      </c>
      <c r="AG48" s="78">
        <f>IFERROR(INDEX('I2017'!G$5:G$96,MATCH($C48,'I2017'!$A$5:$A$96,0)),"")</f>
        <v>142142.85</v>
      </c>
      <c r="AH48" s="78">
        <f>IFERROR(INDEX('I2017'!H$5:H$96,MATCH($C48,'I2017'!$A$5:$A$96,0)),"")</f>
        <v>128607.20000000001</v>
      </c>
      <c r="AI48" s="78">
        <f>IFERROR(INDEX('I2017'!I$5:I$96,MATCH($C48,'I2017'!$A$5:$A$96,0)),"")</f>
        <v>179604.84</v>
      </c>
      <c r="AJ48" s="78">
        <f>IFERROR(INDEX('I2017'!J$5:J$96,MATCH($C48,'I2017'!$A$5:$A$96,0)),"")</f>
        <v>141114.54999999999</v>
      </c>
      <c r="AK48" s="78">
        <f>IFERROR(INDEX('I2017'!K$5:K$96,MATCH($C48,'I2017'!$A$5:$A$96,0)),"")</f>
        <v>115358.94999999998</v>
      </c>
      <c r="AL48" s="78">
        <f>IFERROR(INDEX('I2017'!L$5:L$96,MATCH($C48,'I2017'!$A$5:$A$96,0)),"")</f>
        <v>204228.31</v>
      </c>
      <c r="AM48" s="78">
        <f>IFERROR(INDEX('I2017'!M$5:M$96,MATCH($C48,'I2017'!$A$5:$A$96,0)),"")</f>
        <v>141748.25</v>
      </c>
      <c r="AN48" s="78">
        <f>IFERROR(INDEX('I2018'!B$5:B$107,MATCH($C48,'I2018'!$A$5:$A$107,0)),"")</f>
        <v>189043.11000000004</v>
      </c>
      <c r="AO48" s="78">
        <f>IFERROR(INDEX('I2018'!C$5:C$107,MATCH($C48,'I2018'!$A$5:$A$107,0)),"")</f>
        <v>166198.18</v>
      </c>
      <c r="AP48" s="78">
        <f>IFERROR(INDEX('I2018'!D$5:D$107,MATCH($C48,'I2018'!$A$5:$A$107,0)),"")</f>
        <v>123953.10000000009</v>
      </c>
      <c r="AQ48" s="78">
        <f>IFERROR(INDEX('I2018'!E$5:E$107,MATCH($C48,'I2018'!$A$5:$A$107,0)),"")</f>
        <v>532145.72</v>
      </c>
      <c r="AR48" s="78">
        <f>IFERROR(INDEX('I2018'!F$5:F$107,MATCH($C48,'I2018'!$A$5:$A$107,0)),"")</f>
        <v>540741.39999999991</v>
      </c>
      <c r="AS48" s="78">
        <f>IFERROR(INDEX('I2018'!G$5:G$107,MATCH($C48,'I2018'!$A$5:$A$107,0)),"")</f>
        <v>435016.42000000004</v>
      </c>
      <c r="AT48" s="78">
        <f>IFERROR(INDEX('I2018'!H$5:H$107,MATCH($C48,'I2018'!$A$5:$A$107,0)),"")</f>
        <v>557640.95999999985</v>
      </c>
      <c r="AU48" s="78">
        <f>IFERROR(INDEX('I2018'!I$5:I$107,MATCH($C48,'I2018'!$A$5:$A$107,0)),"")</f>
        <v>765857.8</v>
      </c>
      <c r="AV48" s="78">
        <f>IFERROR(INDEX('I2018'!J$5:J$107,MATCH($C48,'I2018'!$A$5:$A$107,0)),"")</f>
        <v>581489.5199999999</v>
      </c>
      <c r="AW48" s="78">
        <f>IFERROR(INDEX('I2018'!K$5:K$107,MATCH($C48,'I2018'!$A$5:$A$107,0)),"")</f>
        <v>713648.48</v>
      </c>
      <c r="AX48" s="78">
        <f>IFERROR(INDEX('I2018'!L$5:L$107,MATCH($C48,'I2018'!$A$5:$A$107,0)),"")</f>
        <v>657743.29999999981</v>
      </c>
      <c r="AY48" s="78">
        <f>IFERROR(INDEX('I2018'!M$5:M$107,MATCH($C48,'I2018'!$A$5:$A$107,0)),"")</f>
        <v>447115.76</v>
      </c>
      <c r="AZ48" s="78">
        <f>IFERROR(INDEX('I2019'!B$5:B$112,MATCH($C48,'I2019'!$A$5:$A$112,0)),"")</f>
        <v>774656.34999999986</v>
      </c>
      <c r="BA48" s="78">
        <f>IFERROR(INDEX('I2019'!C$5:C$112,MATCH($C48,'I2019'!$A$5:$A$112,0)),"")</f>
        <v>719336.51999999979</v>
      </c>
      <c r="BB48" s="78">
        <f>IFERROR(INDEX('I2019'!D$5:D$112,MATCH($C48,'I2019'!$A$5:$A$112,0)),"")</f>
        <v>817449.55</v>
      </c>
      <c r="BC48" s="78">
        <f>IFERROR(INDEX('I2019'!E$5:E$112,MATCH($C48,'I2019'!$A$5:$A$112,0)),"")</f>
        <v>837638.89999999967</v>
      </c>
      <c r="BD48" s="78">
        <f>IFERROR(INDEX('I2019'!F$5:F$112,MATCH($C48,'I2019'!$A$5:$A$112,0)),"")</f>
        <v>983100.46</v>
      </c>
      <c r="BE48" s="78">
        <f>IFERROR(INDEX('I2019'!G$5:G$112,MATCH($C48,'I2019'!$A$5:$A$112,0)),"")</f>
        <v>749819.25999999978</v>
      </c>
      <c r="BF48" s="78">
        <f>IFERROR(INDEX('I2019'!H$5:H$112,MATCH($C48,'I2019'!$A$5:$A$112,0)),"")</f>
        <v>1008050.2499999998</v>
      </c>
      <c r="BG48" s="78">
        <f>IFERROR(INDEX('I2019'!I$5:I$112,MATCH($C48,'I2019'!$A$5:$A$112,0)),"")</f>
        <v>761683.62000000011</v>
      </c>
      <c r="BH48" s="78">
        <f>IFERROR(INDEX('I2019'!J$5:J$112,MATCH($C48,'I2019'!$A$5:$A$112,0)),"")</f>
        <v>691560.62000000034</v>
      </c>
      <c r="BI48" s="78">
        <f>IFERROR(INDEX('I2019'!K$5:K$112,MATCH($C48,'I2019'!$A$5:$A$112,0)),"")</f>
        <v>1127463.95</v>
      </c>
      <c r="BJ48" s="78">
        <f>IFERROR(INDEX('I2019'!L$5:L$112,MATCH($C48,'I2019'!$A$5:$A$112,0)),"")</f>
        <v>507540.78</v>
      </c>
      <c r="BK48" s="78">
        <f>IFERROR(INDEX('I2019'!M$5:M$112,MATCH($C48,'I2019'!$A$5:$A$112,0)),"")</f>
        <v>585193.05000000005</v>
      </c>
      <c r="BL48" s="78">
        <f>IFERROR(INDEX('I2020'!B$5:B$113,MATCH($C48,'I2020'!$A$5:$A$113,0)),"")</f>
        <v>1033751.1999999995</v>
      </c>
      <c r="BM48" s="78">
        <f>IFERROR(INDEX('I2020'!C$5:C$113,MATCH($C48,'I2020'!$A$5:$A$113,0)),"")</f>
        <v>722743.53</v>
      </c>
      <c r="BN48" s="78">
        <f>IFERROR(INDEX('I2020'!D$5:D$113,MATCH($C48,'I2020'!$A$5:$A$113,0)),"")</f>
        <v>1226136.0000000002</v>
      </c>
      <c r="BO48" s="78">
        <f>IFERROR(INDEX('I2020'!E$5:E$113,MATCH($C48,'I2020'!$A$5:$A$113,0)),"")</f>
        <v>1390376.2599999998</v>
      </c>
      <c r="BP48" s="78">
        <f>IFERROR(INDEX('I2020'!F$5:F$113,MATCH($C48,'I2020'!$A$5:$A$113,0)),"")</f>
        <v>1286137.2599999995</v>
      </c>
      <c r="BQ48" s="398">
        <f>IFERROR(INDEX('I2020'!G$5:G$113,MATCH($C48,'I2020'!$A$5:$A$113,0)),"")</f>
        <v>1638283.0599999998</v>
      </c>
      <c r="BR48" s="153">
        <f t="shared" ref="BQ48:CI48" si="81">BR49*BR31</f>
        <v>1187168.0482066947</v>
      </c>
      <c r="BS48" s="153">
        <f t="shared" si="81"/>
        <v>1203836.3413444518</v>
      </c>
      <c r="BT48" s="153">
        <f t="shared" si="81"/>
        <v>1232417.0900214035</v>
      </c>
      <c r="BU48" s="153">
        <f t="shared" si="81"/>
        <v>1271442.5699797152</v>
      </c>
      <c r="BV48" s="153">
        <f t="shared" si="81"/>
        <v>1319793.4878241201</v>
      </c>
      <c r="BW48" s="153">
        <f t="shared" si="81"/>
        <v>1376632.5880100648</v>
      </c>
      <c r="BX48" s="153">
        <f t="shared" si="81"/>
        <v>1426915.8351250824</v>
      </c>
      <c r="BY48" s="153">
        <f t="shared" si="81"/>
        <v>1472026.5792878517</v>
      </c>
      <c r="BZ48" s="153">
        <f t="shared" si="81"/>
        <v>1513072.583285884</v>
      </c>
      <c r="CA48" s="153">
        <f t="shared" si="81"/>
        <v>1550941.1562821437</v>
      </c>
      <c r="CB48" s="153">
        <f t="shared" si="81"/>
        <v>1586343.2610239533</v>
      </c>
      <c r="CC48" s="153">
        <f t="shared" si="81"/>
        <v>1619848.799857374</v>
      </c>
      <c r="CD48" s="153">
        <f t="shared" si="81"/>
        <v>1651914.8437896841</v>
      </c>
      <c r="CE48" s="153">
        <f t="shared" si="81"/>
        <v>1682908.2159940889</v>
      </c>
      <c r="CF48" s="153">
        <f t="shared" si="81"/>
        <v>1713123.5588720478</v>
      </c>
      <c r="CG48" s="153">
        <f t="shared" si="81"/>
        <v>1742797.7879655664</v>
      </c>
      <c r="CH48" s="153">
        <f t="shared" si="81"/>
        <v>1772121.6553534002</v>
      </c>
      <c r="CI48" s="154">
        <f t="shared" si="81"/>
        <v>1801249.0006383816</v>
      </c>
      <c r="CJ48" s="139"/>
    </row>
    <row r="49" spans="1:88" x14ac:dyDescent="0.3">
      <c r="A49" s="320" t="s">
        <v>243</v>
      </c>
      <c r="B49" s="324">
        <f>Dashboard!C12</f>
        <v>0.42</v>
      </c>
      <c r="C49" s="26" t="s">
        <v>244</v>
      </c>
      <c r="D49" s="108">
        <f>D48/D31</f>
        <v>0.81393086883015131</v>
      </c>
      <c r="E49" s="108">
        <f t="shared" ref="E49:BQ49" si="82">E48/E31</f>
        <v>0.75788794336531262</v>
      </c>
      <c r="F49" s="108">
        <f t="shared" si="82"/>
        <v>0.76339429124571601</v>
      </c>
      <c r="G49" s="108">
        <f t="shared" si="82"/>
        <v>0.78192035660323367</v>
      </c>
      <c r="H49" s="108">
        <f t="shared" si="82"/>
        <v>0.81006115633944253</v>
      </c>
      <c r="I49" s="108">
        <f t="shared" si="82"/>
        <v>0.71658790327967414</v>
      </c>
      <c r="J49" s="108">
        <f t="shared" si="82"/>
        <v>0.82923282105039187</v>
      </c>
      <c r="K49" s="108">
        <f t="shared" si="82"/>
        <v>0.83434587667450777</v>
      </c>
      <c r="L49" s="108">
        <f t="shared" si="82"/>
        <v>0.86768729148078727</v>
      </c>
      <c r="M49" s="108">
        <f t="shared" si="82"/>
        <v>0.84553738111948717</v>
      </c>
      <c r="N49" s="108">
        <f t="shared" si="82"/>
        <v>0.81910758689837182</v>
      </c>
      <c r="O49" s="108">
        <f t="shared" si="82"/>
        <v>0.82294252255290479</v>
      </c>
      <c r="P49" s="108">
        <f t="shared" si="82"/>
        <v>0.79882769112593899</v>
      </c>
      <c r="Q49" s="108">
        <f t="shared" si="82"/>
        <v>0.80243842723787295</v>
      </c>
      <c r="R49" s="108">
        <f t="shared" si="82"/>
        <v>0.81459294755247247</v>
      </c>
      <c r="S49" s="108">
        <f t="shared" si="82"/>
        <v>0.79691568201035112</v>
      </c>
      <c r="T49" s="108">
        <f t="shared" si="82"/>
        <v>0.79289361037126971</v>
      </c>
      <c r="U49" s="108">
        <f t="shared" si="82"/>
        <v>0.79489008291579799</v>
      </c>
      <c r="V49" s="108">
        <f t="shared" si="82"/>
        <v>0.80816163723641221</v>
      </c>
      <c r="W49" s="108">
        <f t="shared" si="82"/>
        <v>0.83751182469196783</v>
      </c>
      <c r="X49" s="108">
        <f t="shared" si="82"/>
        <v>0.84767423213380477</v>
      </c>
      <c r="Y49" s="108">
        <f t="shared" si="82"/>
        <v>0.68550601919964527</v>
      </c>
      <c r="Z49" s="108">
        <f t="shared" si="82"/>
        <v>0.8236810806307221</v>
      </c>
      <c r="AA49" s="108">
        <f t="shared" si="82"/>
        <v>0.81321309644232453</v>
      </c>
      <c r="AB49" s="108">
        <f t="shared" si="82"/>
        <v>0.41495243349189909</v>
      </c>
      <c r="AC49" s="108">
        <f t="shared" si="82"/>
        <v>0.43321266494279637</v>
      </c>
      <c r="AD49" s="108">
        <f t="shared" si="82"/>
        <v>0.46573424737646529</v>
      </c>
      <c r="AE49" s="108">
        <f t="shared" si="82"/>
        <v>0.45816365047060376</v>
      </c>
      <c r="AF49" s="108">
        <f t="shared" si="82"/>
        <v>0.48272928466191067</v>
      </c>
      <c r="AG49" s="108">
        <f t="shared" si="82"/>
        <v>0.47536424213580414</v>
      </c>
      <c r="AH49" s="108">
        <f t="shared" si="82"/>
        <v>0.48151921515414137</v>
      </c>
      <c r="AI49" s="108">
        <f t="shared" si="82"/>
        <v>0.53187511873214566</v>
      </c>
      <c r="AJ49" s="108">
        <f t="shared" si="82"/>
        <v>0.43896223354302427</v>
      </c>
      <c r="AK49" s="108">
        <f t="shared" si="82"/>
        <v>0.36999787095334397</v>
      </c>
      <c r="AL49" s="108">
        <f t="shared" si="82"/>
        <v>0.53435115122974386</v>
      </c>
      <c r="AM49" s="108">
        <f t="shared" si="82"/>
        <v>0.41434595961662807</v>
      </c>
      <c r="AN49" s="108">
        <f t="shared" si="82"/>
        <v>0.46056506925282475</v>
      </c>
      <c r="AO49" s="108">
        <f t="shared" si="82"/>
        <v>0.43788421829815938</v>
      </c>
      <c r="AP49" s="108">
        <f t="shared" si="82"/>
        <v>0.19353739601704234</v>
      </c>
      <c r="AQ49" s="108">
        <f t="shared" si="82"/>
        <v>0.51188459570694711</v>
      </c>
      <c r="AR49" s="108">
        <f t="shared" si="82"/>
        <v>0.50701777201736831</v>
      </c>
      <c r="AS49" s="108">
        <f t="shared" si="82"/>
        <v>0.43190370725794036</v>
      </c>
      <c r="AT49" s="108">
        <f t="shared" si="82"/>
        <v>0.47249963885156748</v>
      </c>
      <c r="AU49" s="108">
        <f t="shared" si="82"/>
        <v>0.48305177581105707</v>
      </c>
      <c r="AV49" s="108">
        <f t="shared" si="82"/>
        <v>0.41445920929422603</v>
      </c>
      <c r="AW49" s="108">
        <f t="shared" si="82"/>
        <v>0.40135851527954008</v>
      </c>
      <c r="AX49" s="108">
        <f t="shared" si="82"/>
        <v>0.38465603803204179</v>
      </c>
      <c r="AY49" s="108">
        <f t="shared" si="82"/>
        <v>0.26746633430305555</v>
      </c>
      <c r="AZ49" s="108">
        <f t="shared" si="82"/>
        <v>0.37708701213060936</v>
      </c>
      <c r="BA49" s="108">
        <f t="shared" si="82"/>
        <v>0.38289667939772959</v>
      </c>
      <c r="BB49" s="108">
        <f t="shared" si="82"/>
        <v>0.39367300268089805</v>
      </c>
      <c r="BC49" s="108">
        <f t="shared" si="82"/>
        <v>0.40008119704504835</v>
      </c>
      <c r="BD49" s="108">
        <f t="shared" si="82"/>
        <v>0.44254222350952988</v>
      </c>
      <c r="BE49" s="108">
        <f t="shared" si="82"/>
        <v>0.38221831107877902</v>
      </c>
      <c r="BF49" s="108">
        <f t="shared" si="82"/>
        <v>0.44003518045582685</v>
      </c>
      <c r="BG49" s="108">
        <f t="shared" si="82"/>
        <v>0.328111751346993</v>
      </c>
      <c r="BH49" s="108">
        <f t="shared" si="82"/>
        <v>0.35968824217555262</v>
      </c>
      <c r="BI49" s="108">
        <f t="shared" si="82"/>
        <v>0.47917725503404551</v>
      </c>
      <c r="BJ49" s="108">
        <f t="shared" si="82"/>
        <v>0.29296012262077198</v>
      </c>
      <c r="BK49" s="108">
        <f t="shared" si="82"/>
        <v>0.28266120141923889</v>
      </c>
      <c r="BL49" s="108">
        <f t="shared" si="82"/>
        <v>0.46619226966309996</v>
      </c>
      <c r="BM49" s="108">
        <f t="shared" si="82"/>
        <v>0.35233917844278589</v>
      </c>
      <c r="BN49" s="108">
        <f t="shared" si="82"/>
        <v>0.47286250018839138</v>
      </c>
      <c r="BO49" s="108">
        <f t="shared" si="82"/>
        <v>0.52825731342451121</v>
      </c>
      <c r="BP49" s="108">
        <f t="shared" si="82"/>
        <v>0.51231682351070051</v>
      </c>
      <c r="BQ49" s="108">
        <f t="shared" si="82"/>
        <v>0.57976420802825834</v>
      </c>
      <c r="BR49" s="56">
        <f t="shared" ref="BQ49:CI49" si="83">$B$49</f>
        <v>0.42</v>
      </c>
      <c r="BS49" s="56">
        <f t="shared" si="83"/>
        <v>0.42</v>
      </c>
      <c r="BT49" s="56">
        <f t="shared" si="83"/>
        <v>0.42</v>
      </c>
      <c r="BU49" s="56">
        <f t="shared" si="83"/>
        <v>0.42</v>
      </c>
      <c r="BV49" s="56">
        <f t="shared" si="83"/>
        <v>0.42</v>
      </c>
      <c r="BW49" s="56">
        <f t="shared" si="83"/>
        <v>0.42</v>
      </c>
      <c r="BX49" s="56">
        <f t="shared" si="83"/>
        <v>0.42</v>
      </c>
      <c r="BY49" s="56">
        <f t="shared" si="83"/>
        <v>0.42</v>
      </c>
      <c r="BZ49" s="56">
        <f t="shared" si="83"/>
        <v>0.42</v>
      </c>
      <c r="CA49" s="56">
        <f t="shared" si="83"/>
        <v>0.42</v>
      </c>
      <c r="CB49" s="56">
        <f t="shared" si="83"/>
        <v>0.42</v>
      </c>
      <c r="CC49" s="56">
        <f t="shared" si="83"/>
        <v>0.42</v>
      </c>
      <c r="CD49" s="56">
        <f t="shared" si="83"/>
        <v>0.42</v>
      </c>
      <c r="CE49" s="56">
        <f t="shared" si="83"/>
        <v>0.42</v>
      </c>
      <c r="CF49" s="56">
        <f t="shared" si="83"/>
        <v>0.42</v>
      </c>
      <c r="CG49" s="56">
        <f t="shared" si="83"/>
        <v>0.42</v>
      </c>
      <c r="CH49" s="56">
        <f t="shared" si="83"/>
        <v>0.42</v>
      </c>
      <c r="CI49" s="127">
        <f t="shared" si="83"/>
        <v>0.42</v>
      </c>
      <c r="CJ49" s="139"/>
    </row>
    <row r="50" spans="1:88" x14ac:dyDescent="0.3">
      <c r="A50" s="173" t="s">
        <v>252</v>
      </c>
      <c r="B50" s="174" t="b">
        <f>B49=(1-SUM(B32:B45))</f>
        <v>1</v>
      </c>
      <c r="C50" s="76" t="s">
        <v>37</v>
      </c>
      <c r="D50" s="100">
        <f>IFERROR(INDEX('I2015'!B$5:B$73,MATCH($C50,'I2015'!$A$5:$A$73,0)),"")</f>
        <v>0</v>
      </c>
      <c r="E50" s="100">
        <f>IFERROR(INDEX('I2015'!C$5:C$73,MATCH($C50,'I2015'!$A$5:$A$73,0)),"")</f>
        <v>0</v>
      </c>
      <c r="F50" s="100">
        <f>IFERROR(INDEX('I2015'!D$5:D$73,MATCH($C50,'I2015'!$A$5:$A$73,0)),"")</f>
        <v>0</v>
      </c>
      <c r="G50" s="100">
        <f>IFERROR(INDEX('I2015'!E$5:E$73,MATCH($C50,'I2015'!$A$5:$A$73,0)),"")</f>
        <v>0</v>
      </c>
      <c r="H50" s="100">
        <f>IFERROR(INDEX('I2015'!F$5:F$73,MATCH($C50,'I2015'!$A$5:$A$73,0)),"")</f>
        <v>0</v>
      </c>
      <c r="I50" s="100">
        <f>IFERROR(INDEX('I2015'!G$5:G$73,MATCH($C50,'I2015'!$A$5:$A$73,0)),"")</f>
        <v>0</v>
      </c>
      <c r="J50" s="100">
        <f>IFERROR(INDEX('I2015'!H$5:H$73,MATCH($C50,'I2015'!$A$5:$A$73,0)),"")</f>
        <v>0</v>
      </c>
      <c r="K50" s="100">
        <f>IFERROR(INDEX('I2015'!I$5:I$73,MATCH($C50,'I2015'!$A$5:$A$73,0)),"")</f>
        <v>0</v>
      </c>
      <c r="L50" s="100">
        <f>IFERROR(INDEX('I2015'!J$5:J$73,MATCH($C50,'I2015'!$A$5:$A$73,0)),"")</f>
        <v>0</v>
      </c>
      <c r="M50" s="100">
        <f>IFERROR(INDEX('I2015'!K$5:K$73,MATCH($C50,'I2015'!$A$5:$A$73,0)),"")</f>
        <v>0</v>
      </c>
      <c r="N50" s="100">
        <f>IFERROR(INDEX('I2015'!L$5:L$73,MATCH($C50,'I2015'!$A$5:$A$73,0)),"")</f>
        <v>0</v>
      </c>
      <c r="O50" s="100">
        <f>IFERROR(INDEX('I2015'!M$5:M$73,MATCH($C50,'I2015'!$A$5:$A$73,0)),"")</f>
        <v>0</v>
      </c>
      <c r="P50" s="100">
        <f>IFERROR(INDEX('I2016'!B$5:B$90,MATCH($C50,'I2016'!$A$5:$A$90,0)),"")</f>
        <v>0</v>
      </c>
      <c r="Q50" s="100">
        <f>IFERROR(INDEX('I2016'!C$5:C$90,MATCH($C50,'I2016'!$A$5:$A$90,0)),"")</f>
        <v>0</v>
      </c>
      <c r="R50" s="100">
        <f>IFERROR(INDEX('I2016'!D$5:D$90,MATCH($C50,'I2016'!$A$5:$A$90,0)),"")</f>
        <v>0</v>
      </c>
      <c r="S50" s="100">
        <f>IFERROR(INDEX('I2016'!E$5:E$90,MATCH($C50,'I2016'!$A$5:$A$90,0)),"")</f>
        <v>0</v>
      </c>
      <c r="T50" s="100">
        <f>IFERROR(INDEX('I2016'!F$5:F$90,MATCH($C50,'I2016'!$A$5:$A$90,0)),"")</f>
        <v>0</v>
      </c>
      <c r="U50" s="100">
        <f>IFERROR(INDEX('I2016'!G$5:G$90,MATCH($C50,'I2016'!$A$5:$A$90,0)),"")</f>
        <v>0</v>
      </c>
      <c r="V50" s="100">
        <f>IFERROR(INDEX('I2016'!H$5:H$90,MATCH($C50,'I2016'!$A$5:$A$90,0)),"")</f>
        <v>0</v>
      </c>
      <c r="W50" s="100">
        <f>IFERROR(INDEX('I2016'!I$5:I$90,MATCH($C50,'I2016'!$A$5:$A$90,0)),"")</f>
        <v>0</v>
      </c>
      <c r="X50" s="100">
        <f>IFERROR(INDEX('I2016'!J$5:J$90,MATCH($C50,'I2016'!$A$5:$A$90,0)),"")</f>
        <v>0</v>
      </c>
      <c r="Y50" s="100">
        <f>IFERROR(INDEX('I2016'!K$5:K$90,MATCH($C50,'I2016'!$A$5:$A$90,0)),"")</f>
        <v>0</v>
      </c>
      <c r="Z50" s="100">
        <f>IFERROR(INDEX('I2016'!L$5:L$90,MATCH($C50,'I2016'!$A$5:$A$90,0)),"")</f>
        <v>0</v>
      </c>
      <c r="AA50" s="100">
        <f>IFERROR(INDEX('I2016'!M$5:M$90,MATCH($C50,'I2016'!$A$5:$A$90,0)),"")</f>
        <v>0</v>
      </c>
      <c r="AB50" s="100">
        <f>IFERROR(INDEX('I2017'!B$5:B$96,MATCH($C50,'I2017'!$A$5:$A$96,0)),"")</f>
        <v>0</v>
      </c>
      <c r="AC50" s="100">
        <f>IFERROR(INDEX('I2017'!C$5:C$96,MATCH($C50,'I2017'!$A$5:$A$96,0)),"")</f>
        <v>0</v>
      </c>
      <c r="AD50" s="100">
        <f>IFERROR(INDEX('I2017'!D$5:D$96,MATCH($C50,'I2017'!$A$5:$A$96,0)),"")</f>
        <v>0</v>
      </c>
      <c r="AE50" s="100">
        <f>IFERROR(INDEX('I2017'!E$5:E$96,MATCH($C50,'I2017'!$A$5:$A$96,0)),"")</f>
        <v>0</v>
      </c>
      <c r="AF50" s="100">
        <f>IFERROR(INDEX('I2017'!F$5:F$96,MATCH($C50,'I2017'!$A$5:$A$96,0)),"")</f>
        <v>0</v>
      </c>
      <c r="AG50" s="100">
        <f>IFERROR(INDEX('I2017'!G$5:G$96,MATCH($C50,'I2017'!$A$5:$A$96,0)),"")</f>
        <v>0</v>
      </c>
      <c r="AH50" s="100">
        <f>IFERROR(INDEX('I2017'!H$5:H$96,MATCH($C50,'I2017'!$A$5:$A$96,0)),"")</f>
        <v>0</v>
      </c>
      <c r="AI50" s="100">
        <f>IFERROR(INDEX('I2017'!I$5:I$96,MATCH($C50,'I2017'!$A$5:$A$96,0)),"")</f>
        <v>0</v>
      </c>
      <c r="AJ50" s="100">
        <f>IFERROR(INDEX('I2017'!J$5:J$96,MATCH($C50,'I2017'!$A$5:$A$96,0)),"")</f>
        <v>0</v>
      </c>
      <c r="AK50" s="100">
        <f>IFERROR(INDEX('I2017'!K$5:K$96,MATCH($C50,'I2017'!$A$5:$A$96,0)),"")</f>
        <v>0</v>
      </c>
      <c r="AL50" s="100">
        <f>IFERROR(INDEX('I2017'!L$5:L$96,MATCH($C50,'I2017'!$A$5:$A$96,0)),"")</f>
        <v>0</v>
      </c>
      <c r="AM50" s="100">
        <f>IFERROR(INDEX('I2017'!M$5:M$96,MATCH($C50,'I2017'!$A$5:$A$96,0)),"")</f>
        <v>0</v>
      </c>
      <c r="AN50" s="100">
        <f>IFERROR(INDEX('I2018'!B$5:B$107,MATCH($C50,'I2018'!$A$5:$A$107,0)),"")</f>
        <v>0</v>
      </c>
      <c r="AO50" s="100">
        <f>IFERROR(INDEX('I2018'!C$5:C$107,MATCH($C50,'I2018'!$A$5:$A$107,0)),"")</f>
        <v>0</v>
      </c>
      <c r="AP50" s="100">
        <f>IFERROR(INDEX('I2018'!D$5:D$107,MATCH($C50,'I2018'!$A$5:$A$107,0)),"")</f>
        <v>0</v>
      </c>
      <c r="AQ50" s="100">
        <f>IFERROR(INDEX('I2018'!E$5:E$107,MATCH($C50,'I2018'!$A$5:$A$107,0)),"")</f>
        <v>0</v>
      </c>
      <c r="AR50" s="100">
        <f>IFERROR(INDEX('I2018'!F$5:F$107,MATCH($C50,'I2018'!$A$5:$A$107,0)),"")</f>
        <v>0</v>
      </c>
      <c r="AS50" s="100">
        <f>IFERROR(INDEX('I2018'!G$5:G$107,MATCH($C50,'I2018'!$A$5:$A$107,0)),"")</f>
        <v>0</v>
      </c>
      <c r="AT50" s="100">
        <f>IFERROR(INDEX('I2018'!H$5:H$107,MATCH($C50,'I2018'!$A$5:$A$107,0)),"")</f>
        <v>0</v>
      </c>
      <c r="AU50" s="100">
        <f>IFERROR(INDEX('I2018'!I$5:I$107,MATCH($C50,'I2018'!$A$5:$A$107,0)),"")</f>
        <v>0</v>
      </c>
      <c r="AV50" s="100">
        <f>IFERROR(INDEX('I2018'!J$5:J$107,MATCH($C50,'I2018'!$A$5:$A$107,0)),"")</f>
        <v>0</v>
      </c>
      <c r="AW50" s="100">
        <f>IFERROR(INDEX('I2018'!K$5:K$107,MATCH($C50,'I2018'!$A$5:$A$107,0)),"")</f>
        <v>0</v>
      </c>
      <c r="AX50" s="100">
        <f>IFERROR(INDEX('I2018'!L$5:L$107,MATCH($C50,'I2018'!$A$5:$A$107,0)),"")</f>
        <v>0</v>
      </c>
      <c r="AY50" s="100">
        <f>IFERROR(INDEX('I2018'!M$5:M$107,MATCH($C50,'I2018'!$A$5:$A$107,0)),"")</f>
        <v>0</v>
      </c>
      <c r="AZ50" s="100">
        <f>IFERROR(INDEX('I2019'!B$5:B$112,MATCH($C50,'I2019'!$A$5:$A$112,0)),"")</f>
        <v>0</v>
      </c>
      <c r="BA50" s="100">
        <f>IFERROR(INDEX('I2019'!C$5:C$112,MATCH($C50,'I2019'!$A$5:$A$112,0)),"")</f>
        <v>0</v>
      </c>
      <c r="BB50" s="100">
        <f>IFERROR(INDEX('I2019'!D$5:D$112,MATCH($C50,'I2019'!$A$5:$A$112,0)),"")</f>
        <v>0</v>
      </c>
      <c r="BC50" s="100">
        <f>IFERROR(INDEX('I2019'!E$5:E$112,MATCH($C50,'I2019'!$A$5:$A$112,0)),"")</f>
        <v>0</v>
      </c>
      <c r="BD50" s="100">
        <f>IFERROR(INDEX('I2019'!F$5:F$112,MATCH($C50,'I2019'!$A$5:$A$112,0)),"")</f>
        <v>0</v>
      </c>
      <c r="BE50" s="100">
        <f>IFERROR(INDEX('I2019'!G$5:G$112,MATCH($C50,'I2019'!$A$5:$A$112,0)),"")</f>
        <v>0</v>
      </c>
      <c r="BF50" s="100">
        <f>IFERROR(INDEX('I2019'!H$5:H$112,MATCH($C50,'I2019'!$A$5:$A$112,0)),"")</f>
        <v>0</v>
      </c>
      <c r="BG50" s="100">
        <f>IFERROR(INDEX('I2019'!I$5:I$112,MATCH($C50,'I2019'!$A$5:$A$112,0)),"")</f>
        <v>0</v>
      </c>
      <c r="BH50" s="100">
        <f>IFERROR(INDEX('I2019'!J$5:J$112,MATCH($C50,'I2019'!$A$5:$A$112,0)),"")</f>
        <v>0</v>
      </c>
      <c r="BI50" s="100">
        <f>IFERROR(INDEX('I2019'!K$5:K$112,MATCH($C50,'I2019'!$A$5:$A$112,0)),"")</f>
        <v>0</v>
      </c>
      <c r="BJ50" s="100">
        <f>IFERROR(INDEX('I2019'!L$5:L$112,MATCH($C50,'I2019'!$A$5:$A$112,0)),"")</f>
        <v>0</v>
      </c>
      <c r="BK50" s="100">
        <f>IFERROR(INDEX('I2019'!M$5:M$112,MATCH($C50,'I2019'!$A$5:$A$112,0)),"")</f>
        <v>0</v>
      </c>
      <c r="BL50" s="100">
        <f>IFERROR(INDEX('I2020'!B$5:B$113,MATCH($C50,'I2020'!$A$5:$A$113,0)),"")</f>
        <v>0</v>
      </c>
      <c r="BM50" s="100">
        <f>IFERROR(INDEX('I2020'!C$5:C$113,MATCH($C50,'I2020'!$A$5:$A$113,0)),"")</f>
        <v>0</v>
      </c>
      <c r="BN50" s="100">
        <f>IFERROR(INDEX('I2020'!D$5:D$113,MATCH($C50,'I2020'!$A$5:$A$113,0)),"")</f>
        <v>0</v>
      </c>
      <c r="BO50" s="100">
        <f>IFERROR(INDEX('I2020'!E$5:E$113,MATCH($C50,'I2020'!$A$5:$A$113,0)),"")</f>
        <v>0</v>
      </c>
      <c r="BP50" s="100">
        <f>IFERROR(INDEX('I2020'!F$5:F$113,MATCH($C50,'I2020'!$A$5:$A$113,0)),"")</f>
        <v>0</v>
      </c>
      <c r="BQ50" s="395">
        <f>IFERROR(INDEX('I2020'!G$5:G$113,MATCH($C50,'I2020'!$A$5:$A$113,0)),"")</f>
        <v>0</v>
      </c>
      <c r="BR50" s="148"/>
      <c r="BS50" s="148"/>
      <c r="BT50" s="148"/>
      <c r="BU50" s="148"/>
      <c r="BV50" s="148"/>
      <c r="BW50" s="148"/>
      <c r="BX50" s="148"/>
      <c r="BY50" s="148"/>
      <c r="BZ50" s="148"/>
      <c r="CA50" s="148"/>
      <c r="CB50" s="148"/>
      <c r="CC50" s="148"/>
      <c r="CD50" s="148"/>
      <c r="CE50" s="148"/>
      <c r="CF50" s="148"/>
      <c r="CG50" s="148"/>
      <c r="CH50" s="148"/>
      <c r="CI50" s="149"/>
      <c r="CJ50" s="134"/>
    </row>
    <row r="51" spans="1:88" x14ac:dyDescent="0.3">
      <c r="A51" s="33"/>
      <c r="B51" s="68"/>
      <c r="C51" s="21" t="s">
        <v>178</v>
      </c>
      <c r="D51" s="102">
        <f>IFERROR(INDEX('I2015'!B$5:B$73,MATCH($C51,'I2015'!$A$5:$A$73,0)),"")</f>
        <v>1060</v>
      </c>
      <c r="E51" s="102">
        <f>IFERROR(INDEX('I2015'!C$5:C$73,MATCH($C51,'I2015'!$A$5:$A$73,0)),"")</f>
        <v>440</v>
      </c>
      <c r="F51" s="102">
        <f>IFERROR(INDEX('I2015'!D$5:D$73,MATCH($C51,'I2015'!$A$5:$A$73,0)),"")</f>
        <v>980</v>
      </c>
      <c r="G51" s="102">
        <f>IFERROR(INDEX('I2015'!E$5:E$73,MATCH($C51,'I2015'!$A$5:$A$73,0)),"")</f>
        <v>0</v>
      </c>
      <c r="H51" s="102">
        <f>IFERROR(INDEX('I2015'!F$5:F$73,MATCH($C51,'I2015'!$A$5:$A$73,0)),"")</f>
        <v>75</v>
      </c>
      <c r="I51" s="102">
        <f>IFERROR(INDEX('I2015'!G$5:G$73,MATCH($C51,'I2015'!$A$5:$A$73,0)),"")</f>
        <v>0</v>
      </c>
      <c r="J51" s="102">
        <f>IFERROR(INDEX('I2015'!H$5:H$73,MATCH($C51,'I2015'!$A$5:$A$73,0)),"")</f>
        <v>645</v>
      </c>
      <c r="K51" s="102">
        <f>IFERROR(INDEX('I2015'!I$5:I$73,MATCH($C51,'I2015'!$A$5:$A$73,0)),"")</f>
        <v>632</v>
      </c>
      <c r="L51" s="102">
        <f>IFERROR(INDEX('I2015'!J$5:J$73,MATCH($C51,'I2015'!$A$5:$A$73,0)),"")</f>
        <v>1040</v>
      </c>
      <c r="M51" s="102">
        <f>IFERROR(INDEX('I2015'!K$5:K$73,MATCH($C51,'I2015'!$A$5:$A$73,0)),"")</f>
        <v>550</v>
      </c>
      <c r="N51" s="102">
        <f>IFERROR(INDEX('I2015'!L$5:L$73,MATCH($C51,'I2015'!$A$5:$A$73,0)),"")</f>
        <v>687</v>
      </c>
      <c r="O51" s="102">
        <f>IFERROR(INDEX('I2015'!M$5:M$73,MATCH($C51,'I2015'!$A$5:$A$73,0)),"")</f>
        <v>1421</v>
      </c>
      <c r="P51" s="102" t="str">
        <f>IFERROR(INDEX('I2016'!B$5:B$90,MATCH($C51,'I2016'!$A$5:$A$90,0)),"")</f>
        <v/>
      </c>
      <c r="Q51" s="102" t="str">
        <f>IFERROR(INDEX('I2016'!C$5:C$90,MATCH($C51,'I2016'!$A$5:$A$90,0)),"")</f>
        <v/>
      </c>
      <c r="R51" s="102" t="str">
        <f>IFERROR(INDEX('I2016'!D$5:D$90,MATCH($C51,'I2016'!$A$5:$A$90,0)),"")</f>
        <v/>
      </c>
      <c r="S51" s="102" t="str">
        <f>IFERROR(INDEX('I2016'!E$5:E$90,MATCH($C51,'I2016'!$A$5:$A$90,0)),"")</f>
        <v/>
      </c>
      <c r="T51" s="102" t="str">
        <f>IFERROR(INDEX('I2016'!F$5:F$90,MATCH($C51,'I2016'!$A$5:$A$90,0)),"")</f>
        <v/>
      </c>
      <c r="U51" s="102" t="str">
        <f>IFERROR(INDEX('I2016'!G$5:G$90,MATCH($C51,'I2016'!$A$5:$A$90,0)),"")</f>
        <v/>
      </c>
      <c r="V51" s="102" t="str">
        <f>IFERROR(INDEX('I2016'!H$5:H$90,MATCH($C51,'I2016'!$A$5:$A$90,0)),"")</f>
        <v/>
      </c>
      <c r="W51" s="102" t="str">
        <f>IFERROR(INDEX('I2016'!I$5:I$90,MATCH($C51,'I2016'!$A$5:$A$90,0)),"")</f>
        <v/>
      </c>
      <c r="X51" s="102" t="str">
        <f>IFERROR(INDEX('I2016'!J$5:J$90,MATCH($C51,'I2016'!$A$5:$A$90,0)),"")</f>
        <v/>
      </c>
      <c r="Y51" s="102" t="str">
        <f>IFERROR(INDEX('I2016'!K$5:K$90,MATCH($C51,'I2016'!$A$5:$A$90,0)),"")</f>
        <v/>
      </c>
      <c r="Z51" s="102" t="str">
        <f>IFERROR(INDEX('I2016'!L$5:L$90,MATCH($C51,'I2016'!$A$5:$A$90,0)),"")</f>
        <v/>
      </c>
      <c r="AA51" s="102" t="str">
        <f>IFERROR(INDEX('I2016'!M$5:M$90,MATCH($C51,'I2016'!$A$5:$A$90,0)),"")</f>
        <v/>
      </c>
      <c r="AB51" s="102" t="str">
        <f>IFERROR(INDEX('I2017'!B$5:B$96,MATCH($C51,'I2017'!$A$5:$A$96,0)),"")</f>
        <v/>
      </c>
      <c r="AC51" s="102" t="str">
        <f>IFERROR(INDEX('I2017'!C$5:C$96,MATCH($C51,'I2017'!$A$5:$A$96,0)),"")</f>
        <v/>
      </c>
      <c r="AD51" s="102" t="str">
        <f>IFERROR(INDEX('I2017'!D$5:D$96,MATCH($C51,'I2017'!$A$5:$A$96,0)),"")</f>
        <v/>
      </c>
      <c r="AE51" s="102" t="str">
        <f>IFERROR(INDEX('I2017'!E$5:E$96,MATCH($C51,'I2017'!$A$5:$A$96,0)),"")</f>
        <v/>
      </c>
      <c r="AF51" s="102" t="str">
        <f>IFERROR(INDEX('I2017'!F$5:F$96,MATCH($C51,'I2017'!$A$5:$A$96,0)),"")</f>
        <v/>
      </c>
      <c r="AG51" s="102" t="str">
        <f>IFERROR(INDEX('I2017'!G$5:G$96,MATCH($C51,'I2017'!$A$5:$A$96,0)),"")</f>
        <v/>
      </c>
      <c r="AH51" s="102" t="str">
        <f>IFERROR(INDEX('I2017'!H$5:H$96,MATCH($C51,'I2017'!$A$5:$A$96,0)),"")</f>
        <v/>
      </c>
      <c r="AI51" s="102" t="str">
        <f>IFERROR(INDEX('I2017'!I$5:I$96,MATCH($C51,'I2017'!$A$5:$A$96,0)),"")</f>
        <v/>
      </c>
      <c r="AJ51" s="102" t="str">
        <f>IFERROR(INDEX('I2017'!J$5:J$96,MATCH($C51,'I2017'!$A$5:$A$96,0)),"")</f>
        <v/>
      </c>
      <c r="AK51" s="102" t="str">
        <f>IFERROR(INDEX('I2017'!K$5:K$96,MATCH($C51,'I2017'!$A$5:$A$96,0)),"")</f>
        <v/>
      </c>
      <c r="AL51" s="102" t="str">
        <f>IFERROR(INDEX('I2017'!L$5:L$96,MATCH($C51,'I2017'!$A$5:$A$96,0)),"")</f>
        <v/>
      </c>
      <c r="AM51" s="102" t="str">
        <f>IFERROR(INDEX('I2017'!M$5:M$96,MATCH($C51,'I2017'!$A$5:$A$96,0)),"")</f>
        <v/>
      </c>
      <c r="AN51" s="102" t="str">
        <f>IFERROR(INDEX('I2018'!B$5:B$107,MATCH($C51,'I2018'!$A$5:$A$107,0)),"")</f>
        <v/>
      </c>
      <c r="AO51" s="102" t="str">
        <f>IFERROR(INDEX('I2018'!C$5:C$107,MATCH($C51,'I2018'!$A$5:$A$107,0)),"")</f>
        <v/>
      </c>
      <c r="AP51" s="102" t="str">
        <f>IFERROR(INDEX('I2018'!D$5:D$107,MATCH($C51,'I2018'!$A$5:$A$107,0)),"")</f>
        <v/>
      </c>
      <c r="AQ51" s="102" t="str">
        <f>IFERROR(INDEX('I2018'!E$5:E$107,MATCH($C51,'I2018'!$A$5:$A$107,0)),"")</f>
        <v/>
      </c>
      <c r="AR51" s="102" t="str">
        <f>IFERROR(INDEX('I2018'!F$5:F$107,MATCH($C51,'I2018'!$A$5:$A$107,0)),"")</f>
        <v/>
      </c>
      <c r="AS51" s="102" t="str">
        <f>IFERROR(INDEX('I2018'!G$5:G$107,MATCH($C51,'I2018'!$A$5:$A$107,0)),"")</f>
        <v/>
      </c>
      <c r="AT51" s="102" t="str">
        <f>IFERROR(INDEX('I2018'!H$5:H$107,MATCH($C51,'I2018'!$A$5:$A$107,0)),"")</f>
        <v/>
      </c>
      <c r="AU51" s="102" t="str">
        <f>IFERROR(INDEX('I2018'!I$5:I$107,MATCH($C51,'I2018'!$A$5:$A$107,0)),"")</f>
        <v/>
      </c>
      <c r="AV51" s="102" t="str">
        <f>IFERROR(INDEX('I2018'!J$5:J$107,MATCH($C51,'I2018'!$A$5:$A$107,0)),"")</f>
        <v/>
      </c>
      <c r="AW51" s="102" t="str">
        <f>IFERROR(INDEX('I2018'!K$5:K$107,MATCH($C51,'I2018'!$A$5:$A$107,0)),"")</f>
        <v/>
      </c>
      <c r="AX51" s="102" t="str">
        <f>IFERROR(INDEX('I2018'!L$5:L$107,MATCH($C51,'I2018'!$A$5:$A$107,0)),"")</f>
        <v/>
      </c>
      <c r="AY51" s="102" t="str">
        <f>IFERROR(INDEX('I2018'!M$5:M$107,MATCH($C51,'I2018'!$A$5:$A$107,0)),"")</f>
        <v/>
      </c>
      <c r="AZ51" s="102" t="str">
        <f>IFERROR(INDEX('I2019'!B$5:B$112,MATCH($C51,'I2019'!$A$5:$A$112,0)),"")</f>
        <v/>
      </c>
      <c r="BA51" s="102" t="str">
        <f>IFERROR(INDEX('I2019'!C$5:C$112,MATCH($C51,'I2019'!$A$5:$A$112,0)),"")</f>
        <v/>
      </c>
      <c r="BB51" s="102" t="str">
        <f>IFERROR(INDEX('I2019'!D$5:D$112,MATCH($C51,'I2019'!$A$5:$A$112,0)),"")</f>
        <v/>
      </c>
      <c r="BC51" s="102" t="str">
        <f>IFERROR(INDEX('I2019'!E$5:E$112,MATCH($C51,'I2019'!$A$5:$A$112,0)),"")</f>
        <v/>
      </c>
      <c r="BD51" s="102" t="str">
        <f>IFERROR(INDEX('I2019'!F$5:F$112,MATCH($C51,'I2019'!$A$5:$A$112,0)),"")</f>
        <v/>
      </c>
      <c r="BE51" s="102" t="str">
        <f>IFERROR(INDEX('I2019'!G$5:G$112,MATCH($C51,'I2019'!$A$5:$A$112,0)),"")</f>
        <v/>
      </c>
      <c r="BF51" s="102" t="str">
        <f>IFERROR(INDEX('I2019'!H$5:H$112,MATCH($C51,'I2019'!$A$5:$A$112,0)),"")</f>
        <v/>
      </c>
      <c r="BG51" s="102" t="str">
        <f>IFERROR(INDEX('I2019'!I$5:I$112,MATCH($C51,'I2019'!$A$5:$A$112,0)),"")</f>
        <v/>
      </c>
      <c r="BH51" s="102" t="str">
        <f>IFERROR(INDEX('I2019'!J$5:J$112,MATCH($C51,'I2019'!$A$5:$A$112,0)),"")</f>
        <v/>
      </c>
      <c r="BI51" s="102" t="str">
        <f>IFERROR(INDEX('I2019'!K$5:K$112,MATCH($C51,'I2019'!$A$5:$A$112,0)),"")</f>
        <v/>
      </c>
      <c r="BJ51" s="102" t="str">
        <f>IFERROR(INDEX('I2019'!L$5:L$112,MATCH($C51,'I2019'!$A$5:$A$112,0)),"")</f>
        <v/>
      </c>
      <c r="BK51" s="102" t="str">
        <f>IFERROR(INDEX('I2019'!M$5:M$112,MATCH($C51,'I2019'!$A$5:$A$112,0)),"")</f>
        <v/>
      </c>
      <c r="BL51" s="102" t="str">
        <f>IFERROR(INDEX('I2020'!B$5:B$113,MATCH($C51,'I2020'!$A$5:$A$113,0)),"")</f>
        <v/>
      </c>
      <c r="BM51" s="102" t="str">
        <f>IFERROR(INDEX('I2020'!C$5:C$113,MATCH($C51,'I2020'!$A$5:$A$113,0)),"")</f>
        <v/>
      </c>
      <c r="BN51" s="102" t="str">
        <f>IFERROR(INDEX('I2020'!D$5:D$113,MATCH($C51,'I2020'!$A$5:$A$113,0)),"")</f>
        <v/>
      </c>
      <c r="BO51" s="102" t="str">
        <f>IFERROR(INDEX('I2020'!E$5:E$113,MATCH($C51,'I2020'!$A$5:$A$113,0)),"")</f>
        <v/>
      </c>
      <c r="BP51" s="102" t="str">
        <f>IFERROR(INDEX('I2020'!F$5:F$113,MATCH($C51,'I2020'!$A$5:$A$113,0)),"")</f>
        <v/>
      </c>
      <c r="BQ51" s="392" t="str">
        <f>IFERROR(INDEX('I2020'!G$5:G$113,MATCH($C51,'I2020'!$A$5:$A$113,0)),"")</f>
        <v/>
      </c>
      <c r="BR51" s="64"/>
      <c r="BS51" s="64"/>
      <c r="BT51" s="64"/>
      <c r="BU51" s="64"/>
      <c r="BV51" s="64"/>
      <c r="BW51" s="64"/>
      <c r="BX51" s="64"/>
      <c r="BY51" s="64"/>
      <c r="BZ51" s="64"/>
      <c r="CA51" s="64"/>
      <c r="CB51" s="64"/>
      <c r="CC51" s="64"/>
      <c r="CD51" s="64"/>
      <c r="CE51" s="64"/>
      <c r="CF51" s="64"/>
      <c r="CG51" s="64"/>
      <c r="CH51" s="64"/>
      <c r="CI51" s="124"/>
      <c r="CJ51" s="134"/>
    </row>
    <row r="52" spans="1:88" x14ac:dyDescent="0.3">
      <c r="A52" s="33"/>
      <c r="B52" s="68"/>
      <c r="C52" s="21" t="s">
        <v>150</v>
      </c>
      <c r="D52" s="102" t="str">
        <f>IFERROR(INDEX('I2015'!B$5:B$73,MATCH($C52,'I2015'!$A$5:$A$73,0)),"")</f>
        <v/>
      </c>
      <c r="E52" s="102" t="str">
        <f>IFERROR(INDEX('I2015'!C$5:C$73,MATCH($C52,'I2015'!$A$5:$A$73,0)),"")</f>
        <v/>
      </c>
      <c r="F52" s="102" t="str">
        <f>IFERROR(INDEX('I2015'!D$5:D$73,MATCH($C52,'I2015'!$A$5:$A$73,0)),"")</f>
        <v/>
      </c>
      <c r="G52" s="102" t="str">
        <f>IFERROR(INDEX('I2015'!E$5:E$73,MATCH($C52,'I2015'!$A$5:$A$73,0)),"")</f>
        <v/>
      </c>
      <c r="H52" s="102" t="str">
        <f>IFERROR(INDEX('I2015'!F$5:F$73,MATCH($C52,'I2015'!$A$5:$A$73,0)),"")</f>
        <v/>
      </c>
      <c r="I52" s="102" t="str">
        <f>IFERROR(INDEX('I2015'!G$5:G$73,MATCH($C52,'I2015'!$A$5:$A$73,0)),"")</f>
        <v/>
      </c>
      <c r="J52" s="102" t="str">
        <f>IFERROR(INDEX('I2015'!H$5:H$73,MATCH($C52,'I2015'!$A$5:$A$73,0)),"")</f>
        <v/>
      </c>
      <c r="K52" s="102" t="str">
        <f>IFERROR(INDEX('I2015'!I$5:I$73,MATCH($C52,'I2015'!$A$5:$A$73,0)),"")</f>
        <v/>
      </c>
      <c r="L52" s="102" t="str">
        <f>IFERROR(INDEX('I2015'!J$5:J$73,MATCH($C52,'I2015'!$A$5:$A$73,0)),"")</f>
        <v/>
      </c>
      <c r="M52" s="102" t="str">
        <f>IFERROR(INDEX('I2015'!K$5:K$73,MATCH($C52,'I2015'!$A$5:$A$73,0)),"")</f>
        <v/>
      </c>
      <c r="N52" s="102" t="str">
        <f>IFERROR(INDEX('I2015'!L$5:L$73,MATCH($C52,'I2015'!$A$5:$A$73,0)),"")</f>
        <v/>
      </c>
      <c r="O52" s="102" t="str">
        <f>IFERROR(INDEX('I2015'!M$5:M$73,MATCH($C52,'I2015'!$A$5:$A$73,0)),"")</f>
        <v/>
      </c>
      <c r="P52" s="102">
        <f>IFERROR(INDEX('I2016'!B$5:B$90,MATCH($C52,'I2016'!$A$5:$A$90,0)),"")</f>
        <v>4000.11</v>
      </c>
      <c r="Q52" s="102">
        <f>IFERROR(INDEX('I2016'!C$5:C$90,MATCH($C52,'I2016'!$A$5:$A$90,0)),"")</f>
        <v>5307.97</v>
      </c>
      <c r="R52" s="102">
        <f>IFERROR(INDEX('I2016'!D$5:D$90,MATCH($C52,'I2016'!$A$5:$A$90,0)),"")</f>
        <v>5324.58</v>
      </c>
      <c r="S52" s="102">
        <f>IFERROR(INDEX('I2016'!E$5:E$90,MATCH($C52,'I2016'!$A$5:$A$90,0)),"")</f>
        <v>5275.78</v>
      </c>
      <c r="T52" s="102">
        <f>IFERROR(INDEX('I2016'!F$5:F$90,MATCH($C52,'I2016'!$A$5:$A$90,0)),"")</f>
        <v>5272</v>
      </c>
      <c r="U52" s="102">
        <f>IFERROR(INDEX('I2016'!G$5:G$90,MATCH($C52,'I2016'!$A$5:$A$90,0)),"")</f>
        <v>5375.51</v>
      </c>
      <c r="V52" s="102">
        <f>IFERROR(INDEX('I2016'!H$5:H$90,MATCH($C52,'I2016'!$A$5:$A$90,0)),"")</f>
        <v>5585.18</v>
      </c>
      <c r="W52" s="102">
        <f>IFERROR(INDEX('I2016'!I$5:I$90,MATCH($C52,'I2016'!$A$5:$A$90,0)),"")</f>
        <v>5139.76</v>
      </c>
      <c r="X52" s="102">
        <f>IFERROR(INDEX('I2016'!J$5:J$90,MATCH($C52,'I2016'!$A$5:$A$90,0)),"")</f>
        <v>7582.66</v>
      </c>
      <c r="Y52" s="102">
        <f>IFERROR(INDEX('I2016'!K$5:K$90,MATCH($C52,'I2016'!$A$5:$A$90,0)),"")</f>
        <v>5467.64</v>
      </c>
      <c r="Z52" s="102">
        <f>IFERROR(INDEX('I2016'!L$5:L$90,MATCH($C52,'I2016'!$A$5:$A$90,0)),"")</f>
        <v>6122.97</v>
      </c>
      <c r="AA52" s="102">
        <f>IFERROR(INDEX('I2016'!M$5:M$90,MATCH($C52,'I2016'!$A$5:$A$90,0)),"")</f>
        <v>5203.3599999999997</v>
      </c>
      <c r="AB52" s="102" t="str">
        <f>IFERROR(INDEX('I2017'!B$5:B$96,MATCH($C52,'I2017'!$A$5:$A$96,0)),"")</f>
        <v/>
      </c>
      <c r="AC52" s="102" t="str">
        <f>IFERROR(INDEX('I2017'!C$5:C$96,MATCH($C52,'I2017'!$A$5:$A$96,0)),"")</f>
        <v/>
      </c>
      <c r="AD52" s="102" t="str">
        <f>IFERROR(INDEX('I2017'!D$5:D$96,MATCH($C52,'I2017'!$A$5:$A$96,0)),"")</f>
        <v/>
      </c>
      <c r="AE52" s="102" t="str">
        <f>IFERROR(INDEX('I2017'!E$5:E$96,MATCH($C52,'I2017'!$A$5:$A$96,0)),"")</f>
        <v/>
      </c>
      <c r="AF52" s="102" t="str">
        <f>IFERROR(INDEX('I2017'!F$5:F$96,MATCH($C52,'I2017'!$A$5:$A$96,0)),"")</f>
        <v/>
      </c>
      <c r="AG52" s="102" t="str">
        <f>IFERROR(INDEX('I2017'!G$5:G$96,MATCH($C52,'I2017'!$A$5:$A$96,0)),"")</f>
        <v/>
      </c>
      <c r="AH52" s="102" t="str">
        <f>IFERROR(INDEX('I2017'!H$5:H$96,MATCH($C52,'I2017'!$A$5:$A$96,0)),"")</f>
        <v/>
      </c>
      <c r="AI52" s="102" t="str">
        <f>IFERROR(INDEX('I2017'!I$5:I$96,MATCH($C52,'I2017'!$A$5:$A$96,0)),"")</f>
        <v/>
      </c>
      <c r="AJ52" s="102" t="str">
        <f>IFERROR(INDEX('I2017'!J$5:J$96,MATCH($C52,'I2017'!$A$5:$A$96,0)),"")</f>
        <v/>
      </c>
      <c r="AK52" s="102" t="str">
        <f>IFERROR(INDEX('I2017'!K$5:K$96,MATCH($C52,'I2017'!$A$5:$A$96,0)),"")</f>
        <v/>
      </c>
      <c r="AL52" s="102" t="str">
        <f>IFERROR(INDEX('I2017'!L$5:L$96,MATCH($C52,'I2017'!$A$5:$A$96,0)),"")</f>
        <v/>
      </c>
      <c r="AM52" s="102" t="str">
        <f>IFERROR(INDEX('I2017'!M$5:M$96,MATCH($C52,'I2017'!$A$5:$A$96,0)),"")</f>
        <v/>
      </c>
      <c r="AN52" s="102" t="str">
        <f>IFERROR(INDEX('I2018'!B$5:B$107,MATCH($C52,'I2018'!$A$5:$A$107,0)),"")</f>
        <v/>
      </c>
      <c r="AO52" s="102" t="str">
        <f>IFERROR(INDEX('I2018'!C$5:C$107,MATCH($C52,'I2018'!$A$5:$A$107,0)),"")</f>
        <v/>
      </c>
      <c r="AP52" s="102" t="str">
        <f>IFERROR(INDEX('I2018'!D$5:D$107,MATCH($C52,'I2018'!$A$5:$A$107,0)),"")</f>
        <v/>
      </c>
      <c r="AQ52" s="102" t="str">
        <f>IFERROR(INDEX('I2018'!E$5:E$107,MATCH($C52,'I2018'!$A$5:$A$107,0)),"")</f>
        <v/>
      </c>
      <c r="AR52" s="102" t="str">
        <f>IFERROR(INDEX('I2018'!F$5:F$107,MATCH($C52,'I2018'!$A$5:$A$107,0)),"")</f>
        <v/>
      </c>
      <c r="AS52" s="102" t="str">
        <f>IFERROR(INDEX('I2018'!G$5:G$107,MATCH($C52,'I2018'!$A$5:$A$107,0)),"")</f>
        <v/>
      </c>
      <c r="AT52" s="102" t="str">
        <f>IFERROR(INDEX('I2018'!H$5:H$107,MATCH($C52,'I2018'!$A$5:$A$107,0)),"")</f>
        <v/>
      </c>
      <c r="AU52" s="102" t="str">
        <f>IFERROR(INDEX('I2018'!I$5:I$107,MATCH($C52,'I2018'!$A$5:$A$107,0)),"")</f>
        <v/>
      </c>
      <c r="AV52" s="102" t="str">
        <f>IFERROR(INDEX('I2018'!J$5:J$107,MATCH($C52,'I2018'!$A$5:$A$107,0)),"")</f>
        <v/>
      </c>
      <c r="AW52" s="102" t="str">
        <f>IFERROR(INDEX('I2018'!K$5:K$107,MATCH($C52,'I2018'!$A$5:$A$107,0)),"")</f>
        <v/>
      </c>
      <c r="AX52" s="102" t="str">
        <f>IFERROR(INDEX('I2018'!L$5:L$107,MATCH($C52,'I2018'!$A$5:$A$107,0)),"")</f>
        <v/>
      </c>
      <c r="AY52" s="102" t="str">
        <f>IFERROR(INDEX('I2018'!M$5:M$107,MATCH($C52,'I2018'!$A$5:$A$107,0)),"")</f>
        <v/>
      </c>
      <c r="AZ52" s="102" t="str">
        <f>IFERROR(INDEX('I2019'!B$5:B$112,MATCH($C52,'I2019'!$A$5:$A$112,0)),"")</f>
        <v/>
      </c>
      <c r="BA52" s="102" t="str">
        <f>IFERROR(INDEX('I2019'!C$5:C$112,MATCH($C52,'I2019'!$A$5:$A$112,0)),"")</f>
        <v/>
      </c>
      <c r="BB52" s="102" t="str">
        <f>IFERROR(INDEX('I2019'!D$5:D$112,MATCH($C52,'I2019'!$A$5:$A$112,0)),"")</f>
        <v/>
      </c>
      <c r="BC52" s="102" t="str">
        <f>IFERROR(INDEX('I2019'!E$5:E$112,MATCH($C52,'I2019'!$A$5:$A$112,0)),"")</f>
        <v/>
      </c>
      <c r="BD52" s="102" t="str">
        <f>IFERROR(INDEX('I2019'!F$5:F$112,MATCH($C52,'I2019'!$A$5:$A$112,0)),"")</f>
        <v/>
      </c>
      <c r="BE52" s="102" t="str">
        <f>IFERROR(INDEX('I2019'!G$5:G$112,MATCH($C52,'I2019'!$A$5:$A$112,0)),"")</f>
        <v/>
      </c>
      <c r="BF52" s="102" t="str">
        <f>IFERROR(INDEX('I2019'!H$5:H$112,MATCH($C52,'I2019'!$A$5:$A$112,0)),"")</f>
        <v/>
      </c>
      <c r="BG52" s="102" t="str">
        <f>IFERROR(INDEX('I2019'!I$5:I$112,MATCH($C52,'I2019'!$A$5:$A$112,0)),"")</f>
        <v/>
      </c>
      <c r="BH52" s="102" t="str">
        <f>IFERROR(INDEX('I2019'!J$5:J$112,MATCH($C52,'I2019'!$A$5:$A$112,0)),"")</f>
        <v/>
      </c>
      <c r="BI52" s="102" t="str">
        <f>IFERROR(INDEX('I2019'!K$5:K$112,MATCH($C52,'I2019'!$A$5:$A$112,0)),"")</f>
        <v/>
      </c>
      <c r="BJ52" s="102" t="str">
        <f>IFERROR(INDEX('I2019'!L$5:L$112,MATCH($C52,'I2019'!$A$5:$A$112,0)),"")</f>
        <v/>
      </c>
      <c r="BK52" s="102" t="str">
        <f>IFERROR(INDEX('I2019'!M$5:M$112,MATCH($C52,'I2019'!$A$5:$A$112,0)),"")</f>
        <v/>
      </c>
      <c r="BL52" s="102" t="str">
        <f>IFERROR(INDEX('I2020'!B$5:B$113,MATCH($C52,'I2020'!$A$5:$A$113,0)),"")</f>
        <v/>
      </c>
      <c r="BM52" s="102" t="str">
        <f>IFERROR(INDEX('I2020'!C$5:C$113,MATCH($C52,'I2020'!$A$5:$A$113,0)),"")</f>
        <v/>
      </c>
      <c r="BN52" s="102" t="str">
        <f>IFERROR(INDEX('I2020'!D$5:D$113,MATCH($C52,'I2020'!$A$5:$A$113,0)),"")</f>
        <v/>
      </c>
      <c r="BO52" s="102" t="str">
        <f>IFERROR(INDEX('I2020'!E$5:E$113,MATCH($C52,'I2020'!$A$5:$A$113,0)),"")</f>
        <v/>
      </c>
      <c r="BP52" s="102" t="str">
        <f>IFERROR(INDEX('I2020'!F$5:F$113,MATCH($C52,'I2020'!$A$5:$A$113,0)),"")</f>
        <v/>
      </c>
      <c r="BQ52" s="392" t="str">
        <f>IFERROR(INDEX('I2020'!G$5:G$113,MATCH($C52,'I2020'!$A$5:$A$113,0)),"")</f>
        <v/>
      </c>
      <c r="BR52" s="64"/>
      <c r="BS52" s="64"/>
      <c r="BT52" s="64"/>
      <c r="BU52" s="64"/>
      <c r="BV52" s="64"/>
      <c r="BW52" s="64"/>
      <c r="BX52" s="64"/>
      <c r="BY52" s="64"/>
      <c r="BZ52" s="64"/>
      <c r="CA52" s="64"/>
      <c r="CB52" s="64"/>
      <c r="CC52" s="64"/>
      <c r="CD52" s="64"/>
      <c r="CE52" s="64"/>
      <c r="CF52" s="64"/>
      <c r="CG52" s="64"/>
      <c r="CH52" s="64"/>
      <c r="CI52" s="124"/>
      <c r="CJ52" s="134"/>
    </row>
    <row r="53" spans="1:88" x14ac:dyDescent="0.3">
      <c r="A53" s="33"/>
      <c r="B53" s="68"/>
      <c r="C53" s="21" t="s">
        <v>38</v>
      </c>
      <c r="D53" s="102">
        <f>IFERROR(INDEX('I2015'!B$5:B$73,MATCH($C53,'I2015'!$A$5:$A$73,0)),"")</f>
        <v>0</v>
      </c>
      <c r="E53" s="102">
        <f>IFERROR(INDEX('I2015'!C$5:C$73,MATCH($C53,'I2015'!$A$5:$A$73,0)),"")</f>
        <v>0</v>
      </c>
      <c r="F53" s="102">
        <f>IFERROR(INDEX('I2015'!D$5:D$73,MATCH($C53,'I2015'!$A$5:$A$73,0)),"")</f>
        <v>0</v>
      </c>
      <c r="G53" s="102">
        <f>IFERROR(INDEX('I2015'!E$5:E$73,MATCH($C53,'I2015'!$A$5:$A$73,0)),"")</f>
        <v>0</v>
      </c>
      <c r="H53" s="102">
        <f>IFERROR(INDEX('I2015'!F$5:F$73,MATCH($C53,'I2015'!$A$5:$A$73,0)),"")</f>
        <v>0</v>
      </c>
      <c r="I53" s="102">
        <f>IFERROR(INDEX('I2015'!G$5:G$73,MATCH($C53,'I2015'!$A$5:$A$73,0)),"")</f>
        <v>0</v>
      </c>
      <c r="J53" s="102">
        <f>IFERROR(INDEX('I2015'!H$5:H$73,MATCH($C53,'I2015'!$A$5:$A$73,0)),"")</f>
        <v>0</v>
      </c>
      <c r="K53" s="102">
        <f>IFERROR(INDEX('I2015'!I$5:I$73,MATCH($C53,'I2015'!$A$5:$A$73,0)),"")</f>
        <v>63.95</v>
      </c>
      <c r="L53" s="102">
        <f>IFERROR(INDEX('I2015'!J$5:J$73,MATCH($C53,'I2015'!$A$5:$A$73,0)),"")</f>
        <v>63.95</v>
      </c>
      <c r="M53" s="102">
        <f>IFERROR(INDEX('I2015'!K$5:K$73,MATCH($C53,'I2015'!$A$5:$A$73,0)),"")</f>
        <v>78.5</v>
      </c>
      <c r="N53" s="102">
        <f>IFERROR(INDEX('I2015'!L$5:L$73,MATCH($C53,'I2015'!$A$5:$A$73,0)),"")</f>
        <v>0</v>
      </c>
      <c r="O53" s="102">
        <f>IFERROR(INDEX('I2015'!M$5:M$73,MATCH($C53,'I2015'!$A$5:$A$73,0)),"")</f>
        <v>0</v>
      </c>
      <c r="P53" s="102" t="str">
        <f>IFERROR(INDEX('I2016'!B$5:B$90,MATCH($C53,'I2016'!$A$5:$A$90,0)),"")</f>
        <v/>
      </c>
      <c r="Q53" s="102" t="str">
        <f>IFERROR(INDEX('I2016'!C$5:C$90,MATCH($C53,'I2016'!$A$5:$A$90,0)),"")</f>
        <v/>
      </c>
      <c r="R53" s="102" t="str">
        <f>IFERROR(INDEX('I2016'!D$5:D$90,MATCH($C53,'I2016'!$A$5:$A$90,0)),"")</f>
        <v/>
      </c>
      <c r="S53" s="102" t="str">
        <f>IFERROR(INDEX('I2016'!E$5:E$90,MATCH($C53,'I2016'!$A$5:$A$90,0)),"")</f>
        <v/>
      </c>
      <c r="T53" s="102" t="str">
        <f>IFERROR(INDEX('I2016'!F$5:F$90,MATCH($C53,'I2016'!$A$5:$A$90,0)),"")</f>
        <v/>
      </c>
      <c r="U53" s="102" t="str">
        <f>IFERROR(INDEX('I2016'!G$5:G$90,MATCH($C53,'I2016'!$A$5:$A$90,0)),"")</f>
        <v/>
      </c>
      <c r="V53" s="102" t="str">
        <f>IFERROR(INDEX('I2016'!H$5:H$90,MATCH($C53,'I2016'!$A$5:$A$90,0)),"")</f>
        <v/>
      </c>
      <c r="W53" s="102" t="str">
        <f>IFERROR(INDEX('I2016'!I$5:I$90,MATCH($C53,'I2016'!$A$5:$A$90,0)),"")</f>
        <v/>
      </c>
      <c r="X53" s="102" t="str">
        <f>IFERROR(INDEX('I2016'!J$5:J$90,MATCH($C53,'I2016'!$A$5:$A$90,0)),"")</f>
        <v/>
      </c>
      <c r="Y53" s="102" t="str">
        <f>IFERROR(INDEX('I2016'!K$5:K$90,MATCH($C53,'I2016'!$A$5:$A$90,0)),"")</f>
        <v/>
      </c>
      <c r="Z53" s="102" t="str">
        <f>IFERROR(INDEX('I2016'!L$5:L$90,MATCH($C53,'I2016'!$A$5:$A$90,0)),"")</f>
        <v/>
      </c>
      <c r="AA53" s="102" t="str">
        <f>IFERROR(INDEX('I2016'!M$5:M$90,MATCH($C53,'I2016'!$A$5:$A$90,0)),"")</f>
        <v/>
      </c>
      <c r="AB53" s="102" t="str">
        <f>IFERROR(INDEX('I2017'!B$5:B$96,MATCH($C53,'I2017'!$A$5:$A$96,0)),"")</f>
        <v/>
      </c>
      <c r="AC53" s="102" t="str">
        <f>IFERROR(INDEX('I2017'!C$5:C$96,MATCH($C53,'I2017'!$A$5:$A$96,0)),"")</f>
        <v/>
      </c>
      <c r="AD53" s="102" t="str">
        <f>IFERROR(INDEX('I2017'!D$5:D$96,MATCH($C53,'I2017'!$A$5:$A$96,0)),"")</f>
        <v/>
      </c>
      <c r="AE53" s="102" t="str">
        <f>IFERROR(INDEX('I2017'!E$5:E$96,MATCH($C53,'I2017'!$A$5:$A$96,0)),"")</f>
        <v/>
      </c>
      <c r="AF53" s="102" t="str">
        <f>IFERROR(INDEX('I2017'!F$5:F$96,MATCH($C53,'I2017'!$A$5:$A$96,0)),"")</f>
        <v/>
      </c>
      <c r="AG53" s="102" t="str">
        <f>IFERROR(INDEX('I2017'!G$5:G$96,MATCH($C53,'I2017'!$A$5:$A$96,0)),"")</f>
        <v/>
      </c>
      <c r="AH53" s="102" t="str">
        <f>IFERROR(INDEX('I2017'!H$5:H$96,MATCH($C53,'I2017'!$A$5:$A$96,0)),"")</f>
        <v/>
      </c>
      <c r="AI53" s="102" t="str">
        <f>IFERROR(INDEX('I2017'!I$5:I$96,MATCH($C53,'I2017'!$A$5:$A$96,0)),"")</f>
        <v/>
      </c>
      <c r="AJ53" s="102" t="str">
        <f>IFERROR(INDEX('I2017'!J$5:J$96,MATCH($C53,'I2017'!$A$5:$A$96,0)),"")</f>
        <v/>
      </c>
      <c r="AK53" s="102" t="str">
        <f>IFERROR(INDEX('I2017'!K$5:K$96,MATCH($C53,'I2017'!$A$5:$A$96,0)),"")</f>
        <v/>
      </c>
      <c r="AL53" s="102" t="str">
        <f>IFERROR(INDEX('I2017'!L$5:L$96,MATCH($C53,'I2017'!$A$5:$A$96,0)),"")</f>
        <v/>
      </c>
      <c r="AM53" s="102" t="str">
        <f>IFERROR(INDEX('I2017'!M$5:M$96,MATCH($C53,'I2017'!$A$5:$A$96,0)),"")</f>
        <v/>
      </c>
      <c r="AN53" s="102">
        <f>IFERROR(INDEX('I2018'!B$5:B$107,MATCH($C53,'I2018'!$A$5:$A$107,0)),"")</f>
        <v>0</v>
      </c>
      <c r="AO53" s="102">
        <f>IFERROR(INDEX('I2018'!C$5:C$107,MATCH($C53,'I2018'!$A$5:$A$107,0)),"")</f>
        <v>20</v>
      </c>
      <c r="AP53" s="102">
        <f>IFERROR(INDEX('I2018'!D$5:D$107,MATCH($C53,'I2018'!$A$5:$A$107,0)),"")</f>
        <v>0</v>
      </c>
      <c r="AQ53" s="102">
        <f>IFERROR(INDEX('I2018'!E$5:E$107,MATCH($C53,'I2018'!$A$5:$A$107,0)),"")</f>
        <v>0</v>
      </c>
      <c r="AR53" s="102">
        <f>IFERROR(INDEX('I2018'!F$5:F$107,MATCH($C53,'I2018'!$A$5:$A$107,0)),"")</f>
        <v>0</v>
      </c>
      <c r="AS53" s="102">
        <f>IFERROR(INDEX('I2018'!G$5:G$107,MATCH($C53,'I2018'!$A$5:$A$107,0)),"")</f>
        <v>0</v>
      </c>
      <c r="AT53" s="102">
        <f>IFERROR(INDEX('I2018'!H$5:H$107,MATCH($C53,'I2018'!$A$5:$A$107,0)),"")</f>
        <v>0</v>
      </c>
      <c r="AU53" s="102">
        <f>IFERROR(INDEX('I2018'!I$5:I$107,MATCH($C53,'I2018'!$A$5:$A$107,0)),"")</f>
        <v>0</v>
      </c>
      <c r="AV53" s="102">
        <f>IFERROR(INDEX('I2018'!J$5:J$107,MATCH($C53,'I2018'!$A$5:$A$107,0)),"")</f>
        <v>0</v>
      </c>
      <c r="AW53" s="102">
        <f>IFERROR(INDEX('I2018'!K$5:K$107,MATCH($C53,'I2018'!$A$5:$A$107,0)),"")</f>
        <v>0</v>
      </c>
      <c r="AX53" s="102">
        <f>IFERROR(INDEX('I2018'!L$5:L$107,MATCH($C53,'I2018'!$A$5:$A$107,0)),"")</f>
        <v>128.82</v>
      </c>
      <c r="AY53" s="102">
        <f>IFERROR(INDEX('I2018'!M$5:M$107,MATCH($C53,'I2018'!$A$5:$A$107,0)),"")</f>
        <v>0</v>
      </c>
      <c r="AZ53" s="102">
        <f>IFERROR(INDEX('I2019'!B$5:B$112,MATCH($C53,'I2019'!$A$5:$A$112,0)),"")</f>
        <v>199</v>
      </c>
      <c r="BA53" s="102">
        <f>IFERROR(INDEX('I2019'!C$5:C$112,MATCH($C53,'I2019'!$A$5:$A$112,0)),"")</f>
        <v>20</v>
      </c>
      <c r="BB53" s="102">
        <f>IFERROR(INDEX('I2019'!D$5:D$112,MATCH($C53,'I2019'!$A$5:$A$112,0)),"")</f>
        <v>900</v>
      </c>
      <c r="BC53" s="102">
        <f>IFERROR(INDEX('I2019'!E$5:E$112,MATCH($C53,'I2019'!$A$5:$A$112,0)),"")</f>
        <v>0</v>
      </c>
      <c r="BD53" s="102">
        <f>IFERROR(INDEX('I2019'!F$5:F$112,MATCH($C53,'I2019'!$A$5:$A$112,0)),"")</f>
        <v>0</v>
      </c>
      <c r="BE53" s="102">
        <f>IFERROR(INDEX('I2019'!G$5:G$112,MATCH($C53,'I2019'!$A$5:$A$112,0)),"")</f>
        <v>0</v>
      </c>
      <c r="BF53" s="102">
        <f>IFERROR(INDEX('I2019'!H$5:H$112,MATCH($C53,'I2019'!$A$5:$A$112,0)),"")</f>
        <v>0</v>
      </c>
      <c r="BG53" s="102">
        <f>IFERROR(INDEX('I2019'!I$5:I$112,MATCH($C53,'I2019'!$A$5:$A$112,0)),"")</f>
        <v>5.41</v>
      </c>
      <c r="BH53" s="102">
        <f>IFERROR(INDEX('I2019'!J$5:J$112,MATCH($C53,'I2019'!$A$5:$A$112,0)),"")</f>
        <v>30.3</v>
      </c>
      <c r="BI53" s="102">
        <f>IFERROR(INDEX('I2019'!K$5:K$112,MATCH($C53,'I2019'!$A$5:$A$112,0)),"")</f>
        <v>184.06</v>
      </c>
      <c r="BJ53" s="102">
        <f>IFERROR(INDEX('I2019'!L$5:L$112,MATCH($C53,'I2019'!$A$5:$A$112,0)),"")</f>
        <v>14.06</v>
      </c>
      <c r="BK53" s="102">
        <f>IFERROR(INDEX('I2019'!M$5:M$112,MATCH($C53,'I2019'!$A$5:$A$112,0)),"")</f>
        <v>14.06</v>
      </c>
      <c r="BL53" s="102">
        <f>IFERROR(INDEX('I2020'!B$5:B$113,MATCH($C53,'I2020'!$A$5:$A$113,0)),"")</f>
        <v>199</v>
      </c>
      <c r="BM53" s="102">
        <f>IFERROR(INDEX('I2020'!C$5:C$113,MATCH($C53,'I2020'!$A$5:$A$113,0)),"")</f>
        <v>314.42</v>
      </c>
      <c r="BN53" s="102">
        <f>IFERROR(INDEX('I2020'!D$5:D$113,MATCH($C53,'I2020'!$A$5:$A$113,0)),"")</f>
        <v>914.06</v>
      </c>
      <c r="BO53" s="102">
        <f>IFERROR(INDEX('I2020'!E$5:E$113,MATCH($C53,'I2020'!$A$5:$A$113,0)),"")</f>
        <v>197.35</v>
      </c>
      <c r="BP53" s="102">
        <f>IFERROR(INDEX('I2020'!F$5:F$113,MATCH($C53,'I2020'!$A$5:$A$113,0)),"")</f>
        <v>410.96</v>
      </c>
      <c r="BQ53" s="392">
        <f>IFERROR(INDEX('I2020'!G$5:G$113,MATCH($C53,'I2020'!$A$5:$A$113,0)),"")</f>
        <v>63.81</v>
      </c>
      <c r="BR53" s="64"/>
      <c r="BS53" s="64"/>
      <c r="BT53" s="64"/>
      <c r="BU53" s="64"/>
      <c r="BV53" s="64"/>
      <c r="BW53" s="64"/>
      <c r="BX53" s="64"/>
      <c r="BY53" s="64"/>
      <c r="BZ53" s="64"/>
      <c r="CA53" s="64"/>
      <c r="CB53" s="64"/>
      <c r="CC53" s="64"/>
      <c r="CD53" s="64"/>
      <c r="CE53" s="64"/>
      <c r="CF53" s="64"/>
      <c r="CG53" s="64"/>
      <c r="CH53" s="64"/>
      <c r="CI53" s="124"/>
      <c r="CJ53" s="134"/>
    </row>
    <row r="54" spans="1:88" x14ac:dyDescent="0.3">
      <c r="A54" s="33"/>
      <c r="B54" s="68"/>
      <c r="C54" s="21" t="s">
        <v>205</v>
      </c>
      <c r="D54" s="102" t="str">
        <f>IFERROR(INDEX('I2015'!B$5:B$73,MATCH($C54,'I2015'!$A$5:$A$73,0)),"")</f>
        <v/>
      </c>
      <c r="E54" s="102" t="str">
        <f>IFERROR(INDEX('I2015'!C$5:C$73,MATCH($C54,'I2015'!$A$5:$A$73,0)),"")</f>
        <v/>
      </c>
      <c r="F54" s="102" t="str">
        <f>IFERROR(INDEX('I2015'!D$5:D$73,MATCH($C54,'I2015'!$A$5:$A$73,0)),"")</f>
        <v/>
      </c>
      <c r="G54" s="102" t="str">
        <f>IFERROR(INDEX('I2015'!E$5:E$73,MATCH($C54,'I2015'!$A$5:$A$73,0)),"")</f>
        <v/>
      </c>
      <c r="H54" s="102" t="str">
        <f>IFERROR(INDEX('I2015'!F$5:F$73,MATCH($C54,'I2015'!$A$5:$A$73,0)),"")</f>
        <v/>
      </c>
      <c r="I54" s="102" t="str">
        <f>IFERROR(INDEX('I2015'!G$5:G$73,MATCH($C54,'I2015'!$A$5:$A$73,0)),"")</f>
        <v/>
      </c>
      <c r="J54" s="102" t="str">
        <f>IFERROR(INDEX('I2015'!H$5:H$73,MATCH($C54,'I2015'!$A$5:$A$73,0)),"")</f>
        <v/>
      </c>
      <c r="K54" s="102" t="str">
        <f>IFERROR(INDEX('I2015'!I$5:I$73,MATCH($C54,'I2015'!$A$5:$A$73,0)),"")</f>
        <v/>
      </c>
      <c r="L54" s="102" t="str">
        <f>IFERROR(INDEX('I2015'!J$5:J$73,MATCH($C54,'I2015'!$A$5:$A$73,0)),"")</f>
        <v/>
      </c>
      <c r="M54" s="102" t="str">
        <f>IFERROR(INDEX('I2015'!K$5:K$73,MATCH($C54,'I2015'!$A$5:$A$73,0)),"")</f>
        <v/>
      </c>
      <c r="N54" s="102" t="str">
        <f>IFERROR(INDEX('I2015'!L$5:L$73,MATCH($C54,'I2015'!$A$5:$A$73,0)),"")</f>
        <v/>
      </c>
      <c r="O54" s="102" t="str">
        <f>IFERROR(INDEX('I2015'!M$5:M$73,MATCH($C54,'I2015'!$A$5:$A$73,0)),"")</f>
        <v/>
      </c>
      <c r="P54" s="102" t="str">
        <f>IFERROR(INDEX('I2016'!B$5:B$90,MATCH($C54,'I2016'!$A$5:$A$90,0)),"")</f>
        <v/>
      </c>
      <c r="Q54" s="102" t="str">
        <f>IFERROR(INDEX('I2016'!C$5:C$90,MATCH($C54,'I2016'!$A$5:$A$90,0)),"")</f>
        <v/>
      </c>
      <c r="R54" s="102" t="str">
        <f>IFERROR(INDEX('I2016'!D$5:D$90,MATCH($C54,'I2016'!$A$5:$A$90,0)),"")</f>
        <v/>
      </c>
      <c r="S54" s="102" t="str">
        <f>IFERROR(INDEX('I2016'!E$5:E$90,MATCH($C54,'I2016'!$A$5:$A$90,0)),"")</f>
        <v/>
      </c>
      <c r="T54" s="102" t="str">
        <f>IFERROR(INDEX('I2016'!F$5:F$90,MATCH($C54,'I2016'!$A$5:$A$90,0)),"")</f>
        <v/>
      </c>
      <c r="U54" s="102" t="str">
        <f>IFERROR(INDEX('I2016'!G$5:G$90,MATCH($C54,'I2016'!$A$5:$A$90,0)),"")</f>
        <v/>
      </c>
      <c r="V54" s="102" t="str">
        <f>IFERROR(INDEX('I2016'!H$5:H$90,MATCH($C54,'I2016'!$A$5:$A$90,0)),"")</f>
        <v/>
      </c>
      <c r="W54" s="102" t="str">
        <f>IFERROR(INDEX('I2016'!I$5:I$90,MATCH($C54,'I2016'!$A$5:$A$90,0)),"")</f>
        <v/>
      </c>
      <c r="X54" s="102" t="str">
        <f>IFERROR(INDEX('I2016'!J$5:J$90,MATCH($C54,'I2016'!$A$5:$A$90,0)),"")</f>
        <v/>
      </c>
      <c r="Y54" s="102" t="str">
        <f>IFERROR(INDEX('I2016'!K$5:K$90,MATCH($C54,'I2016'!$A$5:$A$90,0)),"")</f>
        <v/>
      </c>
      <c r="Z54" s="102" t="str">
        <f>IFERROR(INDEX('I2016'!L$5:L$90,MATCH($C54,'I2016'!$A$5:$A$90,0)),"")</f>
        <v/>
      </c>
      <c r="AA54" s="102" t="str">
        <f>IFERROR(INDEX('I2016'!M$5:M$90,MATCH($C54,'I2016'!$A$5:$A$90,0)),"")</f>
        <v/>
      </c>
      <c r="AB54" s="102" t="str">
        <f>IFERROR(INDEX('I2017'!B$5:B$96,MATCH($C54,'I2017'!$A$5:$A$96,0)),"")</f>
        <v/>
      </c>
      <c r="AC54" s="102" t="str">
        <f>IFERROR(INDEX('I2017'!C$5:C$96,MATCH($C54,'I2017'!$A$5:$A$96,0)),"")</f>
        <v/>
      </c>
      <c r="AD54" s="102" t="str">
        <f>IFERROR(INDEX('I2017'!D$5:D$96,MATCH($C54,'I2017'!$A$5:$A$96,0)),"")</f>
        <v/>
      </c>
      <c r="AE54" s="102" t="str">
        <f>IFERROR(INDEX('I2017'!E$5:E$96,MATCH($C54,'I2017'!$A$5:$A$96,0)),"")</f>
        <v/>
      </c>
      <c r="AF54" s="102" t="str">
        <f>IFERROR(INDEX('I2017'!F$5:F$96,MATCH($C54,'I2017'!$A$5:$A$96,0)),"")</f>
        <v/>
      </c>
      <c r="AG54" s="102" t="str">
        <f>IFERROR(INDEX('I2017'!G$5:G$96,MATCH($C54,'I2017'!$A$5:$A$96,0)),"")</f>
        <v/>
      </c>
      <c r="AH54" s="102" t="str">
        <f>IFERROR(INDEX('I2017'!H$5:H$96,MATCH($C54,'I2017'!$A$5:$A$96,0)),"")</f>
        <v/>
      </c>
      <c r="AI54" s="102" t="str">
        <f>IFERROR(INDEX('I2017'!I$5:I$96,MATCH($C54,'I2017'!$A$5:$A$96,0)),"")</f>
        <v/>
      </c>
      <c r="AJ54" s="102" t="str">
        <f>IFERROR(INDEX('I2017'!J$5:J$96,MATCH($C54,'I2017'!$A$5:$A$96,0)),"")</f>
        <v/>
      </c>
      <c r="AK54" s="102" t="str">
        <f>IFERROR(INDEX('I2017'!K$5:K$96,MATCH($C54,'I2017'!$A$5:$A$96,0)),"")</f>
        <v/>
      </c>
      <c r="AL54" s="102" t="str">
        <f>IFERROR(INDEX('I2017'!L$5:L$96,MATCH($C54,'I2017'!$A$5:$A$96,0)),"")</f>
        <v/>
      </c>
      <c r="AM54" s="102" t="str">
        <f>IFERROR(INDEX('I2017'!M$5:M$96,MATCH($C54,'I2017'!$A$5:$A$96,0)),"")</f>
        <v/>
      </c>
      <c r="AN54" s="102" t="str">
        <f>IFERROR(INDEX('I2018'!B$5:B$107,MATCH($C54,'I2018'!$A$5:$A$107,0)),"")</f>
        <v/>
      </c>
      <c r="AO54" s="102" t="str">
        <f>IFERROR(INDEX('I2018'!C$5:C$107,MATCH($C54,'I2018'!$A$5:$A$107,0)),"")</f>
        <v/>
      </c>
      <c r="AP54" s="102" t="str">
        <f>IFERROR(INDEX('I2018'!D$5:D$107,MATCH($C54,'I2018'!$A$5:$A$107,0)),"")</f>
        <v/>
      </c>
      <c r="AQ54" s="102" t="str">
        <f>IFERROR(INDEX('I2018'!E$5:E$107,MATCH($C54,'I2018'!$A$5:$A$107,0)),"")</f>
        <v/>
      </c>
      <c r="AR54" s="102" t="str">
        <f>IFERROR(INDEX('I2018'!F$5:F$107,MATCH($C54,'I2018'!$A$5:$A$107,0)),"")</f>
        <v/>
      </c>
      <c r="AS54" s="102" t="str">
        <f>IFERROR(INDEX('I2018'!G$5:G$107,MATCH($C54,'I2018'!$A$5:$A$107,0)),"")</f>
        <v/>
      </c>
      <c r="AT54" s="102" t="str">
        <f>IFERROR(INDEX('I2018'!H$5:H$107,MATCH($C54,'I2018'!$A$5:$A$107,0)),"")</f>
        <v/>
      </c>
      <c r="AU54" s="102" t="str">
        <f>IFERROR(INDEX('I2018'!I$5:I$107,MATCH($C54,'I2018'!$A$5:$A$107,0)),"")</f>
        <v/>
      </c>
      <c r="AV54" s="102" t="str">
        <f>IFERROR(INDEX('I2018'!J$5:J$107,MATCH($C54,'I2018'!$A$5:$A$107,0)),"")</f>
        <v/>
      </c>
      <c r="AW54" s="102" t="str">
        <f>IFERROR(INDEX('I2018'!K$5:K$107,MATCH($C54,'I2018'!$A$5:$A$107,0)),"")</f>
        <v/>
      </c>
      <c r="AX54" s="102" t="str">
        <f>IFERROR(INDEX('I2018'!L$5:L$107,MATCH($C54,'I2018'!$A$5:$A$107,0)),"")</f>
        <v/>
      </c>
      <c r="AY54" s="102" t="str">
        <f>IFERROR(INDEX('I2018'!M$5:M$107,MATCH($C54,'I2018'!$A$5:$A$107,0)),"")</f>
        <v/>
      </c>
      <c r="AZ54" s="102">
        <f>IFERROR(INDEX('I2019'!B$5:B$112,MATCH($C54,'I2019'!$A$5:$A$112,0)),"")</f>
        <v>0</v>
      </c>
      <c r="BA54" s="102">
        <f>IFERROR(INDEX('I2019'!C$5:C$112,MATCH($C54,'I2019'!$A$5:$A$112,0)),"")</f>
        <v>0</v>
      </c>
      <c r="BB54" s="102">
        <f>IFERROR(INDEX('I2019'!D$5:D$112,MATCH($C54,'I2019'!$A$5:$A$112,0)),"")</f>
        <v>0</v>
      </c>
      <c r="BC54" s="102">
        <f>IFERROR(INDEX('I2019'!E$5:E$112,MATCH($C54,'I2019'!$A$5:$A$112,0)),"")</f>
        <v>1000</v>
      </c>
      <c r="BD54" s="102">
        <f>IFERROR(INDEX('I2019'!F$5:F$112,MATCH($C54,'I2019'!$A$5:$A$112,0)),"")</f>
        <v>0</v>
      </c>
      <c r="BE54" s="102">
        <f>IFERROR(INDEX('I2019'!G$5:G$112,MATCH($C54,'I2019'!$A$5:$A$112,0)),"")</f>
        <v>0</v>
      </c>
      <c r="BF54" s="102">
        <f>IFERROR(INDEX('I2019'!H$5:H$112,MATCH($C54,'I2019'!$A$5:$A$112,0)),"")</f>
        <v>245.09</v>
      </c>
      <c r="BG54" s="102">
        <f>IFERROR(INDEX('I2019'!I$5:I$112,MATCH($C54,'I2019'!$A$5:$A$112,0)),"")</f>
        <v>32.19</v>
      </c>
      <c r="BH54" s="102">
        <f>IFERROR(INDEX('I2019'!J$5:J$112,MATCH($C54,'I2019'!$A$5:$A$112,0)),"")</f>
        <v>0</v>
      </c>
      <c r="BI54" s="102">
        <f>IFERROR(INDEX('I2019'!K$5:K$112,MATCH($C54,'I2019'!$A$5:$A$112,0)),"")</f>
        <v>0</v>
      </c>
      <c r="BJ54" s="102">
        <f>IFERROR(INDEX('I2019'!L$5:L$112,MATCH($C54,'I2019'!$A$5:$A$112,0)),"")</f>
        <v>0</v>
      </c>
      <c r="BK54" s="102">
        <f>IFERROR(INDEX('I2019'!M$5:M$112,MATCH($C54,'I2019'!$A$5:$A$112,0)),"")</f>
        <v>0</v>
      </c>
      <c r="BL54" s="102" t="str">
        <f>IFERROR(INDEX('I2020'!B$5:B$113,MATCH($C54,'I2020'!$A$5:$A$113,0)),"")</f>
        <v/>
      </c>
      <c r="BM54" s="102" t="str">
        <f>IFERROR(INDEX('I2020'!C$5:C$113,MATCH($C54,'I2020'!$A$5:$A$113,0)),"")</f>
        <v/>
      </c>
      <c r="BN54" s="102" t="str">
        <f>IFERROR(INDEX('I2020'!D$5:D$113,MATCH($C54,'I2020'!$A$5:$A$113,0)),"")</f>
        <v/>
      </c>
      <c r="BO54" s="102" t="str">
        <f>IFERROR(INDEX('I2020'!E$5:E$113,MATCH($C54,'I2020'!$A$5:$A$113,0)),"")</f>
        <v/>
      </c>
      <c r="BP54" s="102" t="str">
        <f>IFERROR(INDEX('I2020'!F$5:F$113,MATCH($C54,'I2020'!$A$5:$A$113,0)),"")</f>
        <v/>
      </c>
      <c r="BQ54" s="392" t="str">
        <f>IFERROR(INDEX('I2020'!G$5:G$113,MATCH($C54,'I2020'!$A$5:$A$113,0)),"")</f>
        <v/>
      </c>
      <c r="BR54" s="64"/>
      <c r="BS54" s="64"/>
      <c r="BT54" s="64"/>
      <c r="BU54" s="64"/>
      <c r="BV54" s="64"/>
      <c r="BW54" s="64"/>
      <c r="BX54" s="64"/>
      <c r="BY54" s="64"/>
      <c r="BZ54" s="64"/>
      <c r="CA54" s="64"/>
      <c r="CB54" s="64"/>
      <c r="CC54" s="64"/>
      <c r="CD54" s="64"/>
      <c r="CE54" s="64"/>
      <c r="CF54" s="64"/>
      <c r="CG54" s="64"/>
      <c r="CH54" s="64"/>
      <c r="CI54" s="124"/>
      <c r="CJ54" s="134"/>
    </row>
    <row r="55" spans="1:88" x14ac:dyDescent="0.3">
      <c r="A55" s="33"/>
      <c r="B55" s="68"/>
      <c r="C55" s="21" t="s">
        <v>179</v>
      </c>
      <c r="D55" s="102">
        <f>IFERROR(INDEX('I2015'!B$5:B$73,MATCH($C55,'I2015'!$A$5:$A$73,0)),"")</f>
        <v>0</v>
      </c>
      <c r="E55" s="102">
        <f>IFERROR(INDEX('I2015'!C$5:C$73,MATCH($C55,'I2015'!$A$5:$A$73,0)),"")</f>
        <v>121.1</v>
      </c>
      <c r="F55" s="102">
        <f>IFERROR(INDEX('I2015'!D$5:D$73,MATCH($C55,'I2015'!$A$5:$A$73,0)),"")</f>
        <v>0</v>
      </c>
      <c r="G55" s="102">
        <f>IFERROR(INDEX('I2015'!E$5:E$73,MATCH($C55,'I2015'!$A$5:$A$73,0)),"")</f>
        <v>66.14</v>
      </c>
      <c r="H55" s="102">
        <f>IFERROR(INDEX('I2015'!F$5:F$73,MATCH($C55,'I2015'!$A$5:$A$73,0)),"")</f>
        <v>45.51</v>
      </c>
      <c r="I55" s="102">
        <f>IFERROR(INDEX('I2015'!G$5:G$73,MATCH($C55,'I2015'!$A$5:$A$73,0)),"")</f>
        <v>251.92</v>
      </c>
      <c r="J55" s="102">
        <f>IFERROR(INDEX('I2015'!H$5:H$73,MATCH($C55,'I2015'!$A$5:$A$73,0)),"")</f>
        <v>0</v>
      </c>
      <c r="K55" s="102">
        <f>IFERROR(INDEX('I2015'!I$5:I$73,MATCH($C55,'I2015'!$A$5:$A$73,0)),"")</f>
        <v>0</v>
      </c>
      <c r="L55" s="102">
        <f>IFERROR(INDEX('I2015'!J$5:J$73,MATCH($C55,'I2015'!$A$5:$A$73,0)),"")</f>
        <v>0</v>
      </c>
      <c r="M55" s="102">
        <f>IFERROR(INDEX('I2015'!K$5:K$73,MATCH($C55,'I2015'!$A$5:$A$73,0)),"")</f>
        <v>0</v>
      </c>
      <c r="N55" s="102">
        <f>IFERROR(INDEX('I2015'!L$5:L$73,MATCH($C55,'I2015'!$A$5:$A$73,0)),"")</f>
        <v>0</v>
      </c>
      <c r="O55" s="102">
        <f>IFERROR(INDEX('I2015'!M$5:M$73,MATCH($C55,'I2015'!$A$5:$A$73,0)),"")</f>
        <v>0</v>
      </c>
      <c r="P55" s="102" t="str">
        <f>IFERROR(INDEX('I2016'!B$5:B$90,MATCH($C55,'I2016'!$A$5:$A$90,0)),"")</f>
        <v/>
      </c>
      <c r="Q55" s="102" t="str">
        <f>IFERROR(INDEX('I2016'!C$5:C$90,MATCH($C55,'I2016'!$A$5:$A$90,0)),"")</f>
        <v/>
      </c>
      <c r="R55" s="102" t="str">
        <f>IFERROR(INDEX('I2016'!D$5:D$90,MATCH($C55,'I2016'!$A$5:$A$90,0)),"")</f>
        <v/>
      </c>
      <c r="S55" s="102" t="str">
        <f>IFERROR(INDEX('I2016'!E$5:E$90,MATCH($C55,'I2016'!$A$5:$A$90,0)),"")</f>
        <v/>
      </c>
      <c r="T55" s="102" t="str">
        <f>IFERROR(INDEX('I2016'!F$5:F$90,MATCH($C55,'I2016'!$A$5:$A$90,0)),"")</f>
        <v/>
      </c>
      <c r="U55" s="102" t="str">
        <f>IFERROR(INDEX('I2016'!G$5:G$90,MATCH($C55,'I2016'!$A$5:$A$90,0)),"")</f>
        <v/>
      </c>
      <c r="V55" s="102" t="str">
        <f>IFERROR(INDEX('I2016'!H$5:H$90,MATCH($C55,'I2016'!$A$5:$A$90,0)),"")</f>
        <v/>
      </c>
      <c r="W55" s="102" t="str">
        <f>IFERROR(INDEX('I2016'!I$5:I$90,MATCH($C55,'I2016'!$A$5:$A$90,0)),"")</f>
        <v/>
      </c>
      <c r="X55" s="102" t="str">
        <f>IFERROR(INDEX('I2016'!J$5:J$90,MATCH($C55,'I2016'!$A$5:$A$90,0)),"")</f>
        <v/>
      </c>
      <c r="Y55" s="102" t="str">
        <f>IFERROR(INDEX('I2016'!K$5:K$90,MATCH($C55,'I2016'!$A$5:$A$90,0)),"")</f>
        <v/>
      </c>
      <c r="Z55" s="102" t="str">
        <f>IFERROR(INDEX('I2016'!L$5:L$90,MATCH($C55,'I2016'!$A$5:$A$90,0)),"")</f>
        <v/>
      </c>
      <c r="AA55" s="102" t="str">
        <f>IFERROR(INDEX('I2016'!M$5:M$90,MATCH($C55,'I2016'!$A$5:$A$90,0)),"")</f>
        <v/>
      </c>
      <c r="AB55" s="102" t="str">
        <f>IFERROR(INDEX('I2017'!B$5:B$96,MATCH($C55,'I2017'!$A$5:$A$96,0)),"")</f>
        <v/>
      </c>
      <c r="AC55" s="102" t="str">
        <f>IFERROR(INDEX('I2017'!C$5:C$96,MATCH($C55,'I2017'!$A$5:$A$96,0)),"")</f>
        <v/>
      </c>
      <c r="AD55" s="102" t="str">
        <f>IFERROR(INDEX('I2017'!D$5:D$96,MATCH($C55,'I2017'!$A$5:$A$96,0)),"")</f>
        <v/>
      </c>
      <c r="AE55" s="102" t="str">
        <f>IFERROR(INDEX('I2017'!E$5:E$96,MATCH($C55,'I2017'!$A$5:$A$96,0)),"")</f>
        <v/>
      </c>
      <c r="AF55" s="102" t="str">
        <f>IFERROR(INDEX('I2017'!F$5:F$96,MATCH($C55,'I2017'!$A$5:$A$96,0)),"")</f>
        <v/>
      </c>
      <c r="AG55" s="102" t="str">
        <f>IFERROR(INDEX('I2017'!G$5:G$96,MATCH($C55,'I2017'!$A$5:$A$96,0)),"")</f>
        <v/>
      </c>
      <c r="AH55" s="102" t="str">
        <f>IFERROR(INDEX('I2017'!H$5:H$96,MATCH($C55,'I2017'!$A$5:$A$96,0)),"")</f>
        <v/>
      </c>
      <c r="AI55" s="102" t="str">
        <f>IFERROR(INDEX('I2017'!I$5:I$96,MATCH($C55,'I2017'!$A$5:$A$96,0)),"")</f>
        <v/>
      </c>
      <c r="AJ55" s="102" t="str">
        <f>IFERROR(INDEX('I2017'!J$5:J$96,MATCH($C55,'I2017'!$A$5:$A$96,0)),"")</f>
        <v/>
      </c>
      <c r="AK55" s="102" t="str">
        <f>IFERROR(INDEX('I2017'!K$5:K$96,MATCH($C55,'I2017'!$A$5:$A$96,0)),"")</f>
        <v/>
      </c>
      <c r="AL55" s="102" t="str">
        <f>IFERROR(INDEX('I2017'!L$5:L$96,MATCH($C55,'I2017'!$A$5:$A$96,0)),"")</f>
        <v/>
      </c>
      <c r="AM55" s="102" t="str">
        <f>IFERROR(INDEX('I2017'!M$5:M$96,MATCH($C55,'I2017'!$A$5:$A$96,0)),"")</f>
        <v/>
      </c>
      <c r="AN55" s="102" t="str">
        <f>IFERROR(INDEX('I2018'!B$5:B$107,MATCH($C55,'I2018'!$A$5:$A$107,0)),"")</f>
        <v/>
      </c>
      <c r="AO55" s="102" t="str">
        <f>IFERROR(INDEX('I2018'!C$5:C$107,MATCH($C55,'I2018'!$A$5:$A$107,0)),"")</f>
        <v/>
      </c>
      <c r="AP55" s="102" t="str">
        <f>IFERROR(INDEX('I2018'!D$5:D$107,MATCH($C55,'I2018'!$A$5:$A$107,0)),"")</f>
        <v/>
      </c>
      <c r="AQ55" s="102" t="str">
        <f>IFERROR(INDEX('I2018'!E$5:E$107,MATCH($C55,'I2018'!$A$5:$A$107,0)),"")</f>
        <v/>
      </c>
      <c r="AR55" s="102" t="str">
        <f>IFERROR(INDEX('I2018'!F$5:F$107,MATCH($C55,'I2018'!$A$5:$A$107,0)),"")</f>
        <v/>
      </c>
      <c r="AS55" s="102" t="str">
        <f>IFERROR(INDEX('I2018'!G$5:G$107,MATCH($C55,'I2018'!$A$5:$A$107,0)),"")</f>
        <v/>
      </c>
      <c r="AT55" s="102" t="str">
        <f>IFERROR(INDEX('I2018'!H$5:H$107,MATCH($C55,'I2018'!$A$5:$A$107,0)),"")</f>
        <v/>
      </c>
      <c r="AU55" s="102" t="str">
        <f>IFERROR(INDEX('I2018'!I$5:I$107,MATCH($C55,'I2018'!$A$5:$A$107,0)),"")</f>
        <v/>
      </c>
      <c r="AV55" s="102" t="str">
        <f>IFERROR(INDEX('I2018'!J$5:J$107,MATCH($C55,'I2018'!$A$5:$A$107,0)),"")</f>
        <v/>
      </c>
      <c r="AW55" s="102" t="str">
        <f>IFERROR(INDEX('I2018'!K$5:K$107,MATCH($C55,'I2018'!$A$5:$A$107,0)),"")</f>
        <v/>
      </c>
      <c r="AX55" s="102" t="str">
        <f>IFERROR(INDEX('I2018'!L$5:L$107,MATCH($C55,'I2018'!$A$5:$A$107,0)),"")</f>
        <v/>
      </c>
      <c r="AY55" s="102" t="str">
        <f>IFERROR(INDEX('I2018'!M$5:M$107,MATCH($C55,'I2018'!$A$5:$A$107,0)),"")</f>
        <v/>
      </c>
      <c r="AZ55" s="102">
        <f>IFERROR(INDEX('I2019'!B$5:B$112,MATCH($C55,'I2019'!$A$5:$A$112,0)),"")</f>
        <v>0</v>
      </c>
      <c r="BA55" s="102">
        <f>IFERROR(INDEX('I2019'!C$5:C$112,MATCH($C55,'I2019'!$A$5:$A$112,0)),"")</f>
        <v>4.3</v>
      </c>
      <c r="BB55" s="102">
        <f>IFERROR(INDEX('I2019'!D$5:D$112,MATCH($C55,'I2019'!$A$5:$A$112,0)),"")</f>
        <v>17.579999999999998</v>
      </c>
      <c r="BC55" s="102">
        <f>IFERROR(INDEX('I2019'!E$5:E$112,MATCH($C55,'I2019'!$A$5:$A$112,0)),"")</f>
        <v>0</v>
      </c>
      <c r="BD55" s="102">
        <f>IFERROR(INDEX('I2019'!F$5:F$112,MATCH($C55,'I2019'!$A$5:$A$112,0)),"")</f>
        <v>59.14</v>
      </c>
      <c r="BE55" s="102">
        <f>IFERROR(INDEX('I2019'!G$5:G$112,MATCH($C55,'I2019'!$A$5:$A$112,0)),"")</f>
        <v>55.76</v>
      </c>
      <c r="BF55" s="102">
        <f>IFERROR(INDEX('I2019'!H$5:H$112,MATCH($C55,'I2019'!$A$5:$A$112,0)),"")</f>
        <v>126.46</v>
      </c>
      <c r="BG55" s="102">
        <f>IFERROR(INDEX('I2019'!I$5:I$112,MATCH($C55,'I2019'!$A$5:$A$112,0)),"")</f>
        <v>0</v>
      </c>
      <c r="BH55" s="102">
        <f>IFERROR(INDEX('I2019'!J$5:J$112,MATCH($C55,'I2019'!$A$5:$A$112,0)),"")</f>
        <v>0</v>
      </c>
      <c r="BI55" s="102">
        <f>IFERROR(INDEX('I2019'!K$5:K$112,MATCH($C55,'I2019'!$A$5:$A$112,0)),"")</f>
        <v>0</v>
      </c>
      <c r="BJ55" s="102">
        <f>IFERROR(INDEX('I2019'!L$5:L$112,MATCH($C55,'I2019'!$A$5:$A$112,0)),"")</f>
        <v>0</v>
      </c>
      <c r="BK55" s="102">
        <f>IFERROR(INDEX('I2019'!M$5:M$112,MATCH($C55,'I2019'!$A$5:$A$112,0)),"")</f>
        <v>0</v>
      </c>
      <c r="BL55" s="102" t="str">
        <f>IFERROR(INDEX('I2020'!B$5:B$113,MATCH($C55,'I2020'!$A$5:$A$113,0)),"")</f>
        <v/>
      </c>
      <c r="BM55" s="102" t="str">
        <f>IFERROR(INDEX('I2020'!C$5:C$113,MATCH($C55,'I2020'!$A$5:$A$113,0)),"")</f>
        <v/>
      </c>
      <c r="BN55" s="102" t="str">
        <f>IFERROR(INDEX('I2020'!D$5:D$113,MATCH($C55,'I2020'!$A$5:$A$113,0)),"")</f>
        <v/>
      </c>
      <c r="BO55" s="102" t="str">
        <f>IFERROR(INDEX('I2020'!E$5:E$113,MATCH($C55,'I2020'!$A$5:$A$113,0)),"")</f>
        <v/>
      </c>
      <c r="BP55" s="102" t="str">
        <f>IFERROR(INDEX('I2020'!F$5:F$113,MATCH($C55,'I2020'!$A$5:$A$113,0)),"")</f>
        <v/>
      </c>
      <c r="BQ55" s="392" t="str">
        <f>IFERROR(INDEX('I2020'!G$5:G$113,MATCH($C55,'I2020'!$A$5:$A$113,0)),"")</f>
        <v/>
      </c>
      <c r="BR55" s="64"/>
      <c r="BS55" s="64"/>
      <c r="BT55" s="64"/>
      <c r="BU55" s="64"/>
      <c r="BV55" s="64"/>
      <c r="BW55" s="64"/>
      <c r="BX55" s="64"/>
      <c r="BY55" s="64"/>
      <c r="BZ55" s="64"/>
      <c r="CA55" s="64"/>
      <c r="CB55" s="64"/>
      <c r="CC55" s="64"/>
      <c r="CD55" s="64"/>
      <c r="CE55" s="64"/>
      <c r="CF55" s="64"/>
      <c r="CG55" s="64"/>
      <c r="CH55" s="64"/>
      <c r="CI55" s="124"/>
      <c r="CJ55" s="134"/>
    </row>
    <row r="56" spans="1:88" x14ac:dyDescent="0.3">
      <c r="A56" s="33"/>
      <c r="B56" s="68"/>
      <c r="C56" s="76" t="s">
        <v>39</v>
      </c>
      <c r="D56" s="100">
        <f>IFERROR(INDEX('I2015'!B$5:B$73,MATCH($C56,'I2015'!$A$5:$A$73,0)),"")</f>
        <v>0</v>
      </c>
      <c r="E56" s="100">
        <f>IFERROR(INDEX('I2015'!C$5:C$73,MATCH($C56,'I2015'!$A$5:$A$73,0)),"")</f>
        <v>0</v>
      </c>
      <c r="F56" s="100">
        <f>IFERROR(INDEX('I2015'!D$5:D$73,MATCH($C56,'I2015'!$A$5:$A$73,0)),"")</f>
        <v>0</v>
      </c>
      <c r="G56" s="100">
        <f>IFERROR(INDEX('I2015'!E$5:E$73,MATCH($C56,'I2015'!$A$5:$A$73,0)),"")</f>
        <v>0</v>
      </c>
      <c r="H56" s="100">
        <f>IFERROR(INDEX('I2015'!F$5:F$73,MATCH($C56,'I2015'!$A$5:$A$73,0)),"")</f>
        <v>0</v>
      </c>
      <c r="I56" s="100">
        <f>IFERROR(INDEX('I2015'!G$5:G$73,MATCH($C56,'I2015'!$A$5:$A$73,0)),"")</f>
        <v>0</v>
      </c>
      <c r="J56" s="100">
        <f>IFERROR(INDEX('I2015'!H$5:H$73,MATCH($C56,'I2015'!$A$5:$A$73,0)),"")</f>
        <v>0</v>
      </c>
      <c r="K56" s="100">
        <f>IFERROR(INDEX('I2015'!I$5:I$73,MATCH($C56,'I2015'!$A$5:$A$73,0)),"")</f>
        <v>0</v>
      </c>
      <c r="L56" s="100">
        <f>IFERROR(INDEX('I2015'!J$5:J$73,MATCH($C56,'I2015'!$A$5:$A$73,0)),"")</f>
        <v>0</v>
      </c>
      <c r="M56" s="100">
        <f>IFERROR(INDEX('I2015'!K$5:K$73,MATCH($C56,'I2015'!$A$5:$A$73,0)),"")</f>
        <v>0</v>
      </c>
      <c r="N56" s="100">
        <f>IFERROR(INDEX('I2015'!L$5:L$73,MATCH($C56,'I2015'!$A$5:$A$73,0)),"")</f>
        <v>0</v>
      </c>
      <c r="O56" s="100">
        <f>IFERROR(INDEX('I2015'!M$5:M$73,MATCH($C56,'I2015'!$A$5:$A$73,0)),"")</f>
        <v>0</v>
      </c>
      <c r="P56" s="100">
        <f>IFERROR(INDEX('I2016'!B$5:B$90,MATCH($C56,'I2016'!$A$5:$A$90,0)),"")</f>
        <v>0</v>
      </c>
      <c r="Q56" s="100">
        <f>IFERROR(INDEX('I2016'!C$5:C$90,MATCH($C56,'I2016'!$A$5:$A$90,0)),"")</f>
        <v>0</v>
      </c>
      <c r="R56" s="100">
        <f>IFERROR(INDEX('I2016'!D$5:D$90,MATCH($C56,'I2016'!$A$5:$A$90,0)),"")</f>
        <v>0</v>
      </c>
      <c r="S56" s="100">
        <f>IFERROR(INDEX('I2016'!E$5:E$90,MATCH($C56,'I2016'!$A$5:$A$90,0)),"")</f>
        <v>0</v>
      </c>
      <c r="T56" s="100">
        <f>IFERROR(INDEX('I2016'!F$5:F$90,MATCH($C56,'I2016'!$A$5:$A$90,0)),"")</f>
        <v>0</v>
      </c>
      <c r="U56" s="100">
        <f>IFERROR(INDEX('I2016'!G$5:G$90,MATCH($C56,'I2016'!$A$5:$A$90,0)),"")</f>
        <v>0</v>
      </c>
      <c r="V56" s="100">
        <f>IFERROR(INDEX('I2016'!H$5:H$90,MATCH($C56,'I2016'!$A$5:$A$90,0)),"")</f>
        <v>0</v>
      </c>
      <c r="W56" s="100">
        <f>IFERROR(INDEX('I2016'!I$5:I$90,MATCH($C56,'I2016'!$A$5:$A$90,0)),"")</f>
        <v>0</v>
      </c>
      <c r="X56" s="100">
        <f>IFERROR(INDEX('I2016'!J$5:J$90,MATCH($C56,'I2016'!$A$5:$A$90,0)),"")</f>
        <v>0</v>
      </c>
      <c r="Y56" s="100">
        <f>IFERROR(INDEX('I2016'!K$5:K$90,MATCH($C56,'I2016'!$A$5:$A$90,0)),"")</f>
        <v>0</v>
      </c>
      <c r="Z56" s="100">
        <f>IFERROR(INDEX('I2016'!L$5:L$90,MATCH($C56,'I2016'!$A$5:$A$90,0)),"")</f>
        <v>0</v>
      </c>
      <c r="AA56" s="100">
        <f>IFERROR(INDEX('I2016'!M$5:M$90,MATCH($C56,'I2016'!$A$5:$A$90,0)),"")</f>
        <v>0</v>
      </c>
      <c r="AB56" s="100">
        <f>IFERROR(INDEX('I2017'!B$5:B$96,MATCH($C56,'I2017'!$A$5:$A$96,0)),"")</f>
        <v>0</v>
      </c>
      <c r="AC56" s="100">
        <f>IFERROR(INDEX('I2017'!C$5:C$96,MATCH($C56,'I2017'!$A$5:$A$96,0)),"")</f>
        <v>0</v>
      </c>
      <c r="AD56" s="100">
        <f>IFERROR(INDEX('I2017'!D$5:D$96,MATCH($C56,'I2017'!$A$5:$A$96,0)),"")</f>
        <v>0</v>
      </c>
      <c r="AE56" s="100">
        <f>IFERROR(INDEX('I2017'!E$5:E$96,MATCH($C56,'I2017'!$A$5:$A$96,0)),"")</f>
        <v>0</v>
      </c>
      <c r="AF56" s="100">
        <f>IFERROR(INDEX('I2017'!F$5:F$96,MATCH($C56,'I2017'!$A$5:$A$96,0)),"")</f>
        <v>0</v>
      </c>
      <c r="AG56" s="100">
        <f>IFERROR(INDEX('I2017'!G$5:G$96,MATCH($C56,'I2017'!$A$5:$A$96,0)),"")</f>
        <v>0</v>
      </c>
      <c r="AH56" s="100">
        <f>IFERROR(INDEX('I2017'!H$5:H$96,MATCH($C56,'I2017'!$A$5:$A$96,0)),"")</f>
        <v>0</v>
      </c>
      <c r="AI56" s="100">
        <f>IFERROR(INDEX('I2017'!I$5:I$96,MATCH($C56,'I2017'!$A$5:$A$96,0)),"")</f>
        <v>0</v>
      </c>
      <c r="AJ56" s="100">
        <f>IFERROR(INDEX('I2017'!J$5:J$96,MATCH($C56,'I2017'!$A$5:$A$96,0)),"")</f>
        <v>0</v>
      </c>
      <c r="AK56" s="100">
        <f>IFERROR(INDEX('I2017'!K$5:K$96,MATCH($C56,'I2017'!$A$5:$A$96,0)),"")</f>
        <v>0</v>
      </c>
      <c r="AL56" s="100">
        <f>IFERROR(INDEX('I2017'!L$5:L$96,MATCH($C56,'I2017'!$A$5:$A$96,0)),"")</f>
        <v>0</v>
      </c>
      <c r="AM56" s="100">
        <f>IFERROR(INDEX('I2017'!M$5:M$96,MATCH($C56,'I2017'!$A$5:$A$96,0)),"")</f>
        <v>0</v>
      </c>
      <c r="AN56" s="100">
        <f>IFERROR(INDEX('I2018'!B$5:B$107,MATCH($C56,'I2018'!$A$5:$A$107,0)),"")</f>
        <v>0</v>
      </c>
      <c r="AO56" s="100">
        <f>IFERROR(INDEX('I2018'!C$5:C$107,MATCH($C56,'I2018'!$A$5:$A$107,0)),"")</f>
        <v>0</v>
      </c>
      <c r="AP56" s="100">
        <f>IFERROR(INDEX('I2018'!D$5:D$107,MATCH($C56,'I2018'!$A$5:$A$107,0)),"")</f>
        <v>0</v>
      </c>
      <c r="AQ56" s="100">
        <f>IFERROR(INDEX('I2018'!E$5:E$107,MATCH($C56,'I2018'!$A$5:$A$107,0)),"")</f>
        <v>0</v>
      </c>
      <c r="AR56" s="100">
        <f>IFERROR(INDEX('I2018'!F$5:F$107,MATCH($C56,'I2018'!$A$5:$A$107,0)),"")</f>
        <v>0</v>
      </c>
      <c r="AS56" s="100">
        <f>IFERROR(INDEX('I2018'!G$5:G$107,MATCH($C56,'I2018'!$A$5:$A$107,0)),"")</f>
        <v>0</v>
      </c>
      <c r="AT56" s="100">
        <f>IFERROR(INDEX('I2018'!H$5:H$107,MATCH($C56,'I2018'!$A$5:$A$107,0)),"")</f>
        <v>0</v>
      </c>
      <c r="AU56" s="100">
        <f>IFERROR(INDEX('I2018'!I$5:I$107,MATCH($C56,'I2018'!$A$5:$A$107,0)),"")</f>
        <v>0</v>
      </c>
      <c r="AV56" s="100">
        <f>IFERROR(INDEX('I2018'!J$5:J$107,MATCH($C56,'I2018'!$A$5:$A$107,0)),"")</f>
        <v>0</v>
      </c>
      <c r="AW56" s="100">
        <f>IFERROR(INDEX('I2018'!K$5:K$107,MATCH($C56,'I2018'!$A$5:$A$107,0)),"")</f>
        <v>0</v>
      </c>
      <c r="AX56" s="100">
        <f>IFERROR(INDEX('I2018'!L$5:L$107,MATCH($C56,'I2018'!$A$5:$A$107,0)),"")</f>
        <v>0</v>
      </c>
      <c r="AY56" s="100">
        <f>IFERROR(INDEX('I2018'!M$5:M$107,MATCH($C56,'I2018'!$A$5:$A$107,0)),"")</f>
        <v>0</v>
      </c>
      <c r="AZ56" s="100">
        <f>IFERROR(INDEX('I2019'!B$5:B$112,MATCH($C56,'I2019'!$A$5:$A$112,0)),"")</f>
        <v>0</v>
      </c>
      <c r="BA56" s="100">
        <f>IFERROR(INDEX('I2019'!C$5:C$112,MATCH($C56,'I2019'!$A$5:$A$112,0)),"")</f>
        <v>0</v>
      </c>
      <c r="BB56" s="100">
        <f>IFERROR(INDEX('I2019'!D$5:D$112,MATCH($C56,'I2019'!$A$5:$A$112,0)),"")</f>
        <v>0</v>
      </c>
      <c r="BC56" s="100">
        <f>IFERROR(INDEX('I2019'!E$5:E$112,MATCH($C56,'I2019'!$A$5:$A$112,0)),"")</f>
        <v>0</v>
      </c>
      <c r="BD56" s="100">
        <f>IFERROR(INDEX('I2019'!F$5:F$112,MATCH($C56,'I2019'!$A$5:$A$112,0)),"")</f>
        <v>0</v>
      </c>
      <c r="BE56" s="100">
        <f>IFERROR(INDEX('I2019'!G$5:G$112,MATCH($C56,'I2019'!$A$5:$A$112,0)),"")</f>
        <v>0</v>
      </c>
      <c r="BF56" s="100">
        <f>IFERROR(INDEX('I2019'!H$5:H$112,MATCH($C56,'I2019'!$A$5:$A$112,0)),"")</f>
        <v>0</v>
      </c>
      <c r="BG56" s="100">
        <f>IFERROR(INDEX('I2019'!I$5:I$112,MATCH($C56,'I2019'!$A$5:$A$112,0)),"")</f>
        <v>0</v>
      </c>
      <c r="BH56" s="100">
        <f>IFERROR(INDEX('I2019'!J$5:J$112,MATCH($C56,'I2019'!$A$5:$A$112,0)),"")</f>
        <v>0</v>
      </c>
      <c r="BI56" s="100">
        <f>IFERROR(INDEX('I2019'!K$5:K$112,MATCH($C56,'I2019'!$A$5:$A$112,0)),"")</f>
        <v>0</v>
      </c>
      <c r="BJ56" s="100">
        <f>IFERROR(INDEX('I2019'!L$5:L$112,MATCH($C56,'I2019'!$A$5:$A$112,0)),"")</f>
        <v>0</v>
      </c>
      <c r="BK56" s="100">
        <f>IFERROR(INDEX('I2019'!M$5:M$112,MATCH($C56,'I2019'!$A$5:$A$112,0)),"")</f>
        <v>0</v>
      </c>
      <c r="BL56" s="100">
        <f>IFERROR(INDEX('I2020'!B$5:B$113,MATCH($C56,'I2020'!$A$5:$A$113,0)),"")</f>
        <v>0</v>
      </c>
      <c r="BM56" s="100">
        <f>IFERROR(INDEX('I2020'!C$5:C$113,MATCH($C56,'I2020'!$A$5:$A$113,0)),"")</f>
        <v>0</v>
      </c>
      <c r="BN56" s="100">
        <f>IFERROR(INDEX('I2020'!D$5:D$113,MATCH($C56,'I2020'!$A$5:$A$113,0)),"")</f>
        <v>0</v>
      </c>
      <c r="BO56" s="100">
        <f>IFERROR(INDEX('I2020'!E$5:E$113,MATCH($C56,'I2020'!$A$5:$A$113,0)),"")</f>
        <v>0</v>
      </c>
      <c r="BP56" s="100">
        <f>IFERROR(INDEX('I2020'!F$5:F$113,MATCH($C56,'I2020'!$A$5:$A$113,0)),"")</f>
        <v>0</v>
      </c>
      <c r="BQ56" s="395">
        <f>IFERROR(INDEX('I2020'!G$5:G$113,MATCH($C56,'I2020'!$A$5:$A$113,0)),"")</f>
        <v>0</v>
      </c>
      <c r="BR56" s="148"/>
      <c r="BS56" s="148"/>
      <c r="BT56" s="148"/>
      <c r="BU56" s="148"/>
      <c r="BV56" s="148"/>
      <c r="BW56" s="148"/>
      <c r="BX56" s="148"/>
      <c r="BY56" s="148"/>
      <c r="BZ56" s="148"/>
      <c r="CA56" s="148"/>
      <c r="CB56" s="148"/>
      <c r="CC56" s="148"/>
      <c r="CD56" s="148"/>
      <c r="CE56" s="148"/>
      <c r="CF56" s="148"/>
      <c r="CG56" s="148"/>
      <c r="CH56" s="148"/>
      <c r="CI56" s="149"/>
      <c r="CJ56" s="134"/>
    </row>
    <row r="57" spans="1:88" x14ac:dyDescent="0.3">
      <c r="A57" s="33"/>
      <c r="B57" s="68"/>
      <c r="C57" s="21" t="s">
        <v>40</v>
      </c>
      <c r="D57" s="102">
        <f>IFERROR(INDEX('I2015'!B$5:B$73,MATCH($C57,'I2015'!$A$5:$A$73,0)),"")</f>
        <v>-479.91</v>
      </c>
      <c r="E57" s="102">
        <f>IFERROR(INDEX('I2015'!C$5:C$73,MATCH($C57,'I2015'!$A$5:$A$73,0)),"")</f>
        <v>11.95</v>
      </c>
      <c r="F57" s="102">
        <f>IFERROR(INDEX('I2015'!D$5:D$73,MATCH($C57,'I2015'!$A$5:$A$73,0)),"")</f>
        <v>62.29</v>
      </c>
      <c r="G57" s="102">
        <f>IFERROR(INDEX('I2015'!E$5:E$73,MATCH($C57,'I2015'!$A$5:$A$73,0)),"")</f>
        <v>44.17</v>
      </c>
      <c r="H57" s="102">
        <f>IFERROR(INDEX('I2015'!F$5:F$73,MATCH($C57,'I2015'!$A$5:$A$73,0)),"")</f>
        <v>33</v>
      </c>
      <c r="I57" s="102">
        <f>IFERROR(INDEX('I2015'!G$5:G$73,MATCH($C57,'I2015'!$A$5:$A$73,0)),"")</f>
        <v>13.38</v>
      </c>
      <c r="J57" s="102">
        <f>IFERROR(INDEX('I2015'!H$5:H$73,MATCH($C57,'I2015'!$A$5:$A$73,0)),"")</f>
        <v>128.5</v>
      </c>
      <c r="K57" s="102">
        <f>IFERROR(INDEX('I2015'!I$5:I$73,MATCH($C57,'I2015'!$A$5:$A$73,0)),"")</f>
        <v>1036</v>
      </c>
      <c r="L57" s="102">
        <f>IFERROR(INDEX('I2015'!J$5:J$73,MATCH($C57,'I2015'!$A$5:$A$73,0)),"")</f>
        <v>63</v>
      </c>
      <c r="M57" s="102">
        <f>IFERROR(INDEX('I2015'!K$5:K$73,MATCH($C57,'I2015'!$A$5:$A$73,0)),"")</f>
        <v>15</v>
      </c>
      <c r="N57" s="102">
        <f>IFERROR(INDEX('I2015'!L$5:L$73,MATCH($C57,'I2015'!$A$5:$A$73,0)),"")</f>
        <v>15</v>
      </c>
      <c r="O57" s="102">
        <f>IFERROR(INDEX('I2015'!M$5:M$73,MATCH($C57,'I2015'!$A$5:$A$73,0)),"")</f>
        <v>15</v>
      </c>
      <c r="P57" s="102">
        <f>IFERROR(INDEX('I2016'!B$5:B$90,MATCH($C57,'I2016'!$A$5:$A$90,0)),"")</f>
        <v>30</v>
      </c>
      <c r="Q57" s="102">
        <f>IFERROR(INDEX('I2016'!C$5:C$90,MATCH($C57,'I2016'!$A$5:$A$90,0)),"")</f>
        <v>28</v>
      </c>
      <c r="R57" s="102">
        <f>IFERROR(INDEX('I2016'!D$5:D$90,MATCH($C57,'I2016'!$A$5:$A$90,0)),"")</f>
        <v>67</v>
      </c>
      <c r="S57" s="102">
        <f>IFERROR(INDEX('I2016'!E$5:E$90,MATCH($C57,'I2016'!$A$5:$A$90,0)),"")</f>
        <v>99</v>
      </c>
      <c r="T57" s="102">
        <f>IFERROR(INDEX('I2016'!F$5:F$90,MATCH($C57,'I2016'!$A$5:$A$90,0)),"")</f>
        <v>179.08</v>
      </c>
      <c r="U57" s="102">
        <f>IFERROR(INDEX('I2016'!G$5:G$90,MATCH($C57,'I2016'!$A$5:$A$90,0)),"")</f>
        <v>62.44</v>
      </c>
      <c r="V57" s="102">
        <f>IFERROR(INDEX('I2016'!H$5:H$90,MATCH($C57,'I2016'!$A$5:$A$90,0)),"")</f>
        <v>201.5</v>
      </c>
      <c r="W57" s="102">
        <f>IFERROR(INDEX('I2016'!I$5:I$90,MATCH($C57,'I2016'!$A$5:$A$90,0)),"")</f>
        <v>94</v>
      </c>
      <c r="X57" s="102">
        <f>IFERROR(INDEX('I2016'!J$5:J$90,MATCH($C57,'I2016'!$A$5:$A$90,0)),"")</f>
        <v>83</v>
      </c>
      <c r="Y57" s="102">
        <f>IFERROR(INDEX('I2016'!K$5:K$90,MATCH($C57,'I2016'!$A$5:$A$90,0)),"")</f>
        <v>145.09</v>
      </c>
      <c r="Z57" s="102">
        <f>IFERROR(INDEX('I2016'!L$5:L$90,MATCH($C57,'I2016'!$A$5:$A$90,0)),"")</f>
        <v>154.02000000000001</v>
      </c>
      <c r="AA57" s="102">
        <f>IFERROR(INDEX('I2016'!M$5:M$90,MATCH($C57,'I2016'!$A$5:$A$90,0)),"")</f>
        <v>157.24</v>
      </c>
      <c r="AB57" s="102">
        <f>IFERROR(INDEX('I2017'!B$5:B$96,MATCH($C57,'I2017'!$A$5:$A$96,0)),"")</f>
        <v>45.61</v>
      </c>
      <c r="AC57" s="102">
        <f>IFERROR(INDEX('I2017'!C$5:C$96,MATCH($C57,'I2017'!$A$5:$A$96,0)),"")</f>
        <v>-336.8</v>
      </c>
      <c r="AD57" s="102">
        <f>IFERROR(INDEX('I2017'!D$5:D$96,MATCH($C57,'I2017'!$A$5:$A$96,0)),"")</f>
        <v>283.60000000000002</v>
      </c>
      <c r="AE57" s="102">
        <f>IFERROR(INDEX('I2017'!E$5:E$96,MATCH($C57,'I2017'!$A$5:$A$96,0)),"")</f>
        <v>229.75</v>
      </c>
      <c r="AF57" s="102">
        <f>IFERROR(INDEX('I2017'!F$5:F$96,MATCH($C57,'I2017'!$A$5:$A$96,0)),"")</f>
        <v>185.65</v>
      </c>
      <c r="AG57" s="102">
        <f>IFERROR(INDEX('I2017'!G$5:G$96,MATCH($C57,'I2017'!$A$5:$A$96,0)),"")</f>
        <v>305.8</v>
      </c>
      <c r="AH57" s="102">
        <f>IFERROR(INDEX('I2017'!H$5:H$96,MATCH($C57,'I2017'!$A$5:$A$96,0)),"")</f>
        <v>294.35000000000002</v>
      </c>
      <c r="AI57" s="102">
        <f>IFERROR(INDEX('I2017'!I$5:I$96,MATCH($C57,'I2017'!$A$5:$A$96,0)),"")</f>
        <v>357.8</v>
      </c>
      <c r="AJ57" s="102">
        <f>IFERROR(INDEX('I2017'!J$5:J$96,MATCH($C57,'I2017'!$A$5:$A$96,0)),"")</f>
        <v>248.8</v>
      </c>
      <c r="AK57" s="102">
        <f>IFERROR(INDEX('I2017'!K$5:K$96,MATCH($C57,'I2017'!$A$5:$A$96,0)),"")</f>
        <v>245.05</v>
      </c>
      <c r="AL57" s="102">
        <f>IFERROR(INDEX('I2017'!L$5:L$96,MATCH($C57,'I2017'!$A$5:$A$96,0)),"")</f>
        <v>221.95</v>
      </c>
      <c r="AM57" s="102">
        <f>IFERROR(INDEX('I2017'!M$5:M$96,MATCH($C57,'I2017'!$A$5:$A$96,0)),"")</f>
        <v>182.03</v>
      </c>
      <c r="AN57" s="102">
        <f>IFERROR(INDEX('I2018'!B$5:B$107,MATCH($C57,'I2018'!$A$5:$A$107,0)),"")</f>
        <v>147.34</v>
      </c>
      <c r="AO57" s="102">
        <f>IFERROR(INDEX('I2018'!C$5:C$107,MATCH($C57,'I2018'!$A$5:$A$107,0)),"")</f>
        <v>296.2</v>
      </c>
      <c r="AP57" s="102">
        <f>IFERROR(INDEX('I2018'!D$5:D$107,MATCH($C57,'I2018'!$A$5:$A$107,0)),"")</f>
        <v>839.72</v>
      </c>
      <c r="AQ57" s="102">
        <f>IFERROR(INDEX('I2018'!E$5:E$107,MATCH($C57,'I2018'!$A$5:$A$107,0)),"")</f>
        <v>270.45999999999998</v>
      </c>
      <c r="AR57" s="102">
        <f>IFERROR(INDEX('I2018'!F$5:F$107,MATCH($C57,'I2018'!$A$5:$A$107,0)),"")</f>
        <v>72.489999999999995</v>
      </c>
      <c r="AS57" s="102">
        <f>IFERROR(INDEX('I2018'!G$5:G$107,MATCH($C57,'I2018'!$A$5:$A$107,0)),"")</f>
        <v>62.97</v>
      </c>
      <c r="AT57" s="102">
        <f>IFERROR(INDEX('I2018'!H$5:H$107,MATCH($C57,'I2018'!$A$5:$A$107,0)),"")</f>
        <v>130.94</v>
      </c>
      <c r="AU57" s="102">
        <f>IFERROR(INDEX('I2018'!I$5:I$107,MATCH($C57,'I2018'!$A$5:$A$107,0)),"")</f>
        <v>72.45</v>
      </c>
      <c r="AV57" s="102">
        <f>IFERROR(INDEX('I2018'!J$5:J$107,MATCH($C57,'I2018'!$A$5:$A$107,0)),"")</f>
        <v>89.2</v>
      </c>
      <c r="AW57" s="102">
        <f>IFERROR(INDEX('I2018'!K$5:K$107,MATCH($C57,'I2018'!$A$5:$A$107,0)),"")</f>
        <v>83.7</v>
      </c>
      <c r="AX57" s="102">
        <f>IFERROR(INDEX('I2018'!L$5:L$107,MATCH($C57,'I2018'!$A$5:$A$107,0)),"")</f>
        <v>72.72</v>
      </c>
      <c r="AY57" s="102">
        <f>IFERROR(INDEX('I2018'!M$5:M$107,MATCH($C57,'I2018'!$A$5:$A$107,0)),"")</f>
        <v>50.7</v>
      </c>
      <c r="AZ57" s="102">
        <f>IFERROR(INDEX('I2019'!B$5:B$112,MATCH($C57,'I2019'!$A$5:$A$112,0)),"")</f>
        <v>435.3</v>
      </c>
      <c r="BA57" s="102">
        <f>IFERROR(INDEX('I2019'!C$5:C$112,MATCH($C57,'I2019'!$A$5:$A$112,0)),"")</f>
        <v>422.6</v>
      </c>
      <c r="BB57" s="102">
        <f>IFERROR(INDEX('I2019'!D$5:D$112,MATCH($C57,'I2019'!$A$5:$A$112,0)),"")</f>
        <v>81.56</v>
      </c>
      <c r="BC57" s="102">
        <f>IFERROR(INDEX('I2019'!E$5:E$112,MATCH($C57,'I2019'!$A$5:$A$112,0)),"")</f>
        <v>43.2</v>
      </c>
      <c r="BD57" s="102">
        <f>IFERROR(INDEX('I2019'!F$5:F$112,MATCH($C57,'I2019'!$A$5:$A$112,0)),"")</f>
        <v>44.45</v>
      </c>
      <c r="BE57" s="102">
        <f>IFERROR(INDEX('I2019'!G$5:G$112,MATCH($C57,'I2019'!$A$5:$A$112,0)),"")</f>
        <v>44.45</v>
      </c>
      <c r="BF57" s="102">
        <f>IFERROR(INDEX('I2019'!H$5:H$112,MATCH($C57,'I2019'!$A$5:$A$112,0)),"")</f>
        <v>72.2</v>
      </c>
      <c r="BG57" s="102">
        <f>IFERROR(INDEX('I2019'!I$5:I$112,MATCH($C57,'I2019'!$A$5:$A$112,0)),"")</f>
        <v>99.95</v>
      </c>
      <c r="BH57" s="102">
        <f>IFERROR(INDEX('I2019'!J$5:J$112,MATCH($C57,'I2019'!$A$5:$A$112,0)),"")</f>
        <v>113.31</v>
      </c>
      <c r="BI57" s="102">
        <f>IFERROR(INDEX('I2019'!K$5:K$112,MATCH($C57,'I2019'!$A$5:$A$112,0)),"")</f>
        <v>994.3</v>
      </c>
      <c r="BJ57" s="102">
        <f>IFERROR(INDEX('I2019'!L$5:L$112,MATCH($C57,'I2019'!$A$5:$A$112,0)),"")</f>
        <v>1006.5</v>
      </c>
      <c r="BK57" s="102">
        <f>IFERROR(INDEX('I2019'!M$5:M$112,MATCH($C57,'I2019'!$A$5:$A$112,0)),"")</f>
        <v>798.58</v>
      </c>
      <c r="BL57" s="102">
        <f>IFERROR(INDEX('I2020'!B$5:B$113,MATCH($C57,'I2020'!$A$5:$A$113,0)),"")</f>
        <v>343.04</v>
      </c>
      <c r="BM57" s="102">
        <f>IFERROR(INDEX('I2020'!C$5:C$113,MATCH($C57,'I2020'!$A$5:$A$113,0)),"")</f>
        <v>204.58</v>
      </c>
      <c r="BN57" s="102">
        <f>IFERROR(INDEX('I2020'!D$5:D$113,MATCH($C57,'I2020'!$A$5:$A$113,0)),"")</f>
        <v>1020.23</v>
      </c>
      <c r="BO57" s="102">
        <f>IFERROR(INDEX('I2020'!E$5:E$113,MATCH($C57,'I2020'!$A$5:$A$113,0)),"")</f>
        <v>809.89</v>
      </c>
      <c r="BP57" s="102">
        <f>IFERROR(INDEX('I2020'!F$5:F$113,MATCH($C57,'I2020'!$A$5:$A$113,0)),"")</f>
        <v>833.2</v>
      </c>
      <c r="BQ57" s="392">
        <f>IFERROR(INDEX('I2020'!G$5:G$113,MATCH($C57,'I2020'!$A$5:$A$113,0)),"")</f>
        <v>227.45</v>
      </c>
      <c r="BR57" s="64"/>
      <c r="BS57" s="64"/>
      <c r="BT57" s="64"/>
      <c r="BU57" s="64"/>
      <c r="BV57" s="64"/>
      <c r="BW57" s="64"/>
      <c r="BX57" s="64"/>
      <c r="BY57" s="64"/>
      <c r="BZ57" s="64"/>
      <c r="CA57" s="64"/>
      <c r="CB57" s="64"/>
      <c r="CC57" s="64"/>
      <c r="CD57" s="64"/>
      <c r="CE57" s="64"/>
      <c r="CF57" s="64"/>
      <c r="CG57" s="64"/>
      <c r="CH57" s="64"/>
      <c r="CI57" s="124"/>
      <c r="CJ57" s="134"/>
    </row>
    <row r="58" spans="1:88" x14ac:dyDescent="0.3">
      <c r="A58" s="33"/>
      <c r="B58" s="68"/>
      <c r="C58" s="21" t="s">
        <v>41</v>
      </c>
      <c r="D58" s="22" t="str">
        <f>IFERROR(INDEX('I2015'!B$5:B$73,MATCH($C58,'I2015'!$A$5:$A$73,0)),"")</f>
        <v/>
      </c>
      <c r="E58" s="22" t="str">
        <f>IFERROR(INDEX('I2015'!C$5:C$73,MATCH($C58,'I2015'!$A$5:$A$73,0)),"")</f>
        <v/>
      </c>
      <c r="F58" s="22" t="str">
        <f>IFERROR(INDEX('I2015'!D$5:D$73,MATCH($C58,'I2015'!$A$5:$A$73,0)),"")</f>
        <v/>
      </c>
      <c r="G58" s="22" t="str">
        <f>IFERROR(INDEX('I2015'!E$5:E$73,MATCH($C58,'I2015'!$A$5:$A$73,0)),"")</f>
        <v/>
      </c>
      <c r="H58" s="22" t="str">
        <f>IFERROR(INDEX('I2015'!F$5:F$73,MATCH($C58,'I2015'!$A$5:$A$73,0)),"")</f>
        <v/>
      </c>
      <c r="I58" s="22" t="str">
        <f>IFERROR(INDEX('I2015'!G$5:G$73,MATCH($C58,'I2015'!$A$5:$A$73,0)),"")</f>
        <v/>
      </c>
      <c r="J58" s="22" t="str">
        <f>IFERROR(INDEX('I2015'!H$5:H$73,MATCH($C58,'I2015'!$A$5:$A$73,0)),"")</f>
        <v/>
      </c>
      <c r="K58" s="22" t="str">
        <f>IFERROR(INDEX('I2015'!I$5:I$73,MATCH($C58,'I2015'!$A$5:$A$73,0)),"")</f>
        <v/>
      </c>
      <c r="L58" s="22" t="str">
        <f>IFERROR(INDEX('I2015'!J$5:J$73,MATCH($C58,'I2015'!$A$5:$A$73,0)),"")</f>
        <v/>
      </c>
      <c r="M58" s="22" t="str">
        <f>IFERROR(INDEX('I2015'!K$5:K$73,MATCH($C58,'I2015'!$A$5:$A$73,0)),"")</f>
        <v/>
      </c>
      <c r="N58" s="22" t="str">
        <f>IFERROR(INDEX('I2015'!L$5:L$73,MATCH($C58,'I2015'!$A$5:$A$73,0)),"")</f>
        <v/>
      </c>
      <c r="O58" s="22" t="str">
        <f>IFERROR(INDEX('I2015'!M$5:M$73,MATCH($C58,'I2015'!$A$5:$A$73,0)),"")</f>
        <v/>
      </c>
      <c r="P58" s="22" t="str">
        <f>IFERROR(INDEX('I2016'!B$5:B$90,MATCH($C58,'I2016'!$A$5:$A$90,0)),"")</f>
        <v/>
      </c>
      <c r="Q58" s="22" t="str">
        <f>IFERROR(INDEX('I2016'!C$5:C$90,MATCH($C58,'I2016'!$A$5:$A$90,0)),"")</f>
        <v/>
      </c>
      <c r="R58" s="22" t="str">
        <f>IFERROR(INDEX('I2016'!D$5:D$90,MATCH($C58,'I2016'!$A$5:$A$90,0)),"")</f>
        <v/>
      </c>
      <c r="S58" s="22" t="str">
        <f>IFERROR(INDEX('I2016'!E$5:E$90,MATCH($C58,'I2016'!$A$5:$A$90,0)),"")</f>
        <v/>
      </c>
      <c r="T58" s="22" t="str">
        <f>IFERROR(INDEX('I2016'!F$5:F$90,MATCH($C58,'I2016'!$A$5:$A$90,0)),"")</f>
        <v/>
      </c>
      <c r="U58" s="22" t="str">
        <f>IFERROR(INDEX('I2016'!G$5:G$90,MATCH($C58,'I2016'!$A$5:$A$90,0)),"")</f>
        <v/>
      </c>
      <c r="V58" s="22" t="str">
        <f>IFERROR(INDEX('I2016'!H$5:H$90,MATCH($C58,'I2016'!$A$5:$A$90,0)),"")</f>
        <v/>
      </c>
      <c r="W58" s="22" t="str">
        <f>IFERROR(INDEX('I2016'!I$5:I$90,MATCH($C58,'I2016'!$A$5:$A$90,0)),"")</f>
        <v/>
      </c>
      <c r="X58" s="22" t="str">
        <f>IFERROR(INDEX('I2016'!J$5:J$90,MATCH($C58,'I2016'!$A$5:$A$90,0)),"")</f>
        <v/>
      </c>
      <c r="Y58" s="22" t="str">
        <f>IFERROR(INDEX('I2016'!K$5:K$90,MATCH($C58,'I2016'!$A$5:$A$90,0)),"")</f>
        <v/>
      </c>
      <c r="Z58" s="22" t="str">
        <f>IFERROR(INDEX('I2016'!L$5:L$90,MATCH($C58,'I2016'!$A$5:$A$90,0)),"")</f>
        <v/>
      </c>
      <c r="AA58" s="22" t="str">
        <f>IFERROR(INDEX('I2016'!M$5:M$90,MATCH($C58,'I2016'!$A$5:$A$90,0)),"")</f>
        <v/>
      </c>
      <c r="AB58" s="22" t="str">
        <f>IFERROR(INDEX('I2017'!B$5:B$96,MATCH($C58,'I2017'!$A$5:$A$96,0)),"")</f>
        <v/>
      </c>
      <c r="AC58" s="22" t="str">
        <f>IFERROR(INDEX('I2017'!C$5:C$96,MATCH($C58,'I2017'!$A$5:$A$96,0)),"")</f>
        <v/>
      </c>
      <c r="AD58" s="22" t="str">
        <f>IFERROR(INDEX('I2017'!D$5:D$96,MATCH($C58,'I2017'!$A$5:$A$96,0)),"")</f>
        <v/>
      </c>
      <c r="AE58" s="22" t="str">
        <f>IFERROR(INDEX('I2017'!E$5:E$96,MATCH($C58,'I2017'!$A$5:$A$96,0)),"")</f>
        <v/>
      </c>
      <c r="AF58" s="22" t="str">
        <f>IFERROR(INDEX('I2017'!F$5:F$96,MATCH($C58,'I2017'!$A$5:$A$96,0)),"")</f>
        <v/>
      </c>
      <c r="AG58" s="22" t="str">
        <f>IFERROR(INDEX('I2017'!G$5:G$96,MATCH($C58,'I2017'!$A$5:$A$96,0)),"")</f>
        <v/>
      </c>
      <c r="AH58" s="22" t="str">
        <f>IFERROR(INDEX('I2017'!H$5:H$96,MATCH($C58,'I2017'!$A$5:$A$96,0)),"")</f>
        <v/>
      </c>
      <c r="AI58" s="22" t="str">
        <f>IFERROR(INDEX('I2017'!I$5:I$96,MATCH($C58,'I2017'!$A$5:$A$96,0)),"")</f>
        <v/>
      </c>
      <c r="AJ58" s="22" t="str">
        <f>IFERROR(INDEX('I2017'!J$5:J$96,MATCH($C58,'I2017'!$A$5:$A$96,0)),"")</f>
        <v/>
      </c>
      <c r="AK58" s="22" t="str">
        <f>IFERROR(INDEX('I2017'!K$5:K$96,MATCH($C58,'I2017'!$A$5:$A$96,0)),"")</f>
        <v/>
      </c>
      <c r="AL58" s="22" t="str">
        <f>IFERROR(INDEX('I2017'!L$5:L$96,MATCH($C58,'I2017'!$A$5:$A$96,0)),"")</f>
        <v/>
      </c>
      <c r="AM58" s="22" t="str">
        <f>IFERROR(INDEX('I2017'!M$5:M$96,MATCH($C58,'I2017'!$A$5:$A$96,0)),"")</f>
        <v/>
      </c>
      <c r="AN58" s="22">
        <f>IFERROR(INDEX('I2018'!B$5:B$107,MATCH($C58,'I2018'!$A$5:$A$107,0)),"")</f>
        <v>0</v>
      </c>
      <c r="AO58" s="22">
        <f>IFERROR(INDEX('I2018'!C$5:C$107,MATCH($C58,'I2018'!$A$5:$A$107,0)),"")</f>
        <v>0</v>
      </c>
      <c r="AP58" s="22">
        <f>IFERROR(INDEX('I2018'!D$5:D$107,MATCH($C58,'I2018'!$A$5:$A$107,0)),"")</f>
        <v>0</v>
      </c>
      <c r="AQ58" s="22">
        <f>IFERROR(INDEX('I2018'!E$5:E$107,MATCH($C58,'I2018'!$A$5:$A$107,0)),"")</f>
        <v>0</v>
      </c>
      <c r="AR58" s="22">
        <f>IFERROR(INDEX('I2018'!F$5:F$107,MATCH($C58,'I2018'!$A$5:$A$107,0)),"")</f>
        <v>0</v>
      </c>
      <c r="AS58" s="22">
        <f>IFERROR(INDEX('I2018'!G$5:G$107,MATCH($C58,'I2018'!$A$5:$A$107,0)),"")</f>
        <v>0</v>
      </c>
      <c r="AT58" s="22">
        <f>IFERROR(INDEX('I2018'!H$5:H$107,MATCH($C58,'I2018'!$A$5:$A$107,0)),"")</f>
        <v>0</v>
      </c>
      <c r="AU58" s="22">
        <f>IFERROR(INDEX('I2018'!I$5:I$107,MATCH($C58,'I2018'!$A$5:$A$107,0)),"")</f>
        <v>10.59</v>
      </c>
      <c r="AV58" s="22">
        <f>IFERROR(INDEX('I2018'!J$5:J$107,MATCH($C58,'I2018'!$A$5:$A$107,0)),"")</f>
        <v>2.58</v>
      </c>
      <c r="AW58" s="22">
        <f>IFERROR(INDEX('I2018'!K$5:K$107,MATCH($C58,'I2018'!$A$5:$A$107,0)),"")</f>
        <v>9.52</v>
      </c>
      <c r="AX58" s="22">
        <f>IFERROR(INDEX('I2018'!L$5:L$107,MATCH($C58,'I2018'!$A$5:$A$107,0)),"")</f>
        <v>38.909999999999997</v>
      </c>
      <c r="AY58" s="22">
        <f>IFERROR(INDEX('I2018'!M$5:M$107,MATCH($C58,'I2018'!$A$5:$A$107,0)),"")</f>
        <v>10.65</v>
      </c>
      <c r="AZ58" s="22">
        <f>IFERROR(INDEX('I2019'!B$5:B$112,MATCH($C58,'I2019'!$A$5:$A$112,0)),"")</f>
        <v>8.67</v>
      </c>
      <c r="BA58" s="22">
        <f>IFERROR(INDEX('I2019'!C$5:C$112,MATCH($C58,'I2019'!$A$5:$A$112,0)),"")</f>
        <v>4.34</v>
      </c>
      <c r="BB58" s="22">
        <f>IFERROR(INDEX('I2019'!D$5:D$112,MATCH($C58,'I2019'!$A$5:$A$112,0)),"")</f>
        <v>13.67</v>
      </c>
      <c r="BC58" s="22">
        <f>IFERROR(INDEX('I2019'!E$5:E$112,MATCH($C58,'I2019'!$A$5:$A$112,0)),"")</f>
        <v>15.23</v>
      </c>
      <c r="BD58" s="22">
        <f>IFERROR(INDEX('I2019'!F$5:F$112,MATCH($C58,'I2019'!$A$5:$A$112,0)),"")</f>
        <v>15.98</v>
      </c>
      <c r="BE58" s="22">
        <f>IFERROR(INDEX('I2019'!G$5:G$112,MATCH($C58,'I2019'!$A$5:$A$112,0)),"")</f>
        <v>2.97</v>
      </c>
      <c r="BF58" s="22">
        <f>IFERROR(INDEX('I2019'!H$5:H$112,MATCH($C58,'I2019'!$A$5:$A$112,0)),"")</f>
        <v>8.31</v>
      </c>
      <c r="BG58" s="22">
        <f>IFERROR(INDEX('I2019'!I$5:I$112,MATCH($C58,'I2019'!$A$5:$A$112,0)),"")</f>
        <v>5.78</v>
      </c>
      <c r="BH58" s="22">
        <f>IFERROR(INDEX('I2019'!J$5:J$112,MATCH($C58,'I2019'!$A$5:$A$112,0)),"")</f>
        <v>5.64</v>
      </c>
      <c r="BI58" s="22">
        <f>IFERROR(INDEX('I2019'!K$5:K$112,MATCH($C58,'I2019'!$A$5:$A$112,0)),"")</f>
        <v>5.64</v>
      </c>
      <c r="BJ58" s="22">
        <f>IFERROR(INDEX('I2019'!L$5:L$112,MATCH($C58,'I2019'!$A$5:$A$112,0)),"")</f>
        <v>5.64</v>
      </c>
      <c r="BK58" s="22">
        <f>IFERROR(INDEX('I2019'!M$5:M$112,MATCH($C58,'I2019'!$A$5:$A$112,0)),"")</f>
        <v>5.64</v>
      </c>
      <c r="BL58" s="22">
        <f>IFERROR(INDEX('I2020'!B$5:B$113,MATCH($C58,'I2020'!$A$5:$A$113,0)),"")</f>
        <v>5.64</v>
      </c>
      <c r="BM58" s="22">
        <f>IFERROR(INDEX('I2020'!C$5:C$113,MATCH($C58,'I2020'!$A$5:$A$113,0)),"")</f>
        <v>3.04</v>
      </c>
      <c r="BN58" s="22">
        <f>IFERROR(INDEX('I2020'!D$5:D$113,MATCH($C58,'I2020'!$A$5:$A$113,0)),"")</f>
        <v>5.34</v>
      </c>
      <c r="BO58" s="22">
        <f>IFERROR(INDEX('I2020'!E$5:E$113,MATCH($C58,'I2020'!$A$5:$A$113,0)),"")</f>
        <v>12</v>
      </c>
      <c r="BP58" s="22">
        <f>IFERROR(INDEX('I2020'!F$5:F$113,MATCH($C58,'I2020'!$A$5:$A$113,0)),"")</f>
        <v>12</v>
      </c>
      <c r="BQ58" s="393">
        <f>IFERROR(INDEX('I2020'!G$5:G$113,MATCH($C58,'I2020'!$A$5:$A$113,0)),"")</f>
        <v>0</v>
      </c>
      <c r="BR58" s="65"/>
      <c r="BS58" s="65"/>
      <c r="BT58" s="65"/>
      <c r="BU58" s="65"/>
      <c r="BV58" s="65"/>
      <c r="BW58" s="65"/>
      <c r="BX58" s="65"/>
      <c r="BY58" s="65"/>
      <c r="BZ58" s="65"/>
      <c r="CA58" s="65"/>
      <c r="CB58" s="65"/>
      <c r="CC58" s="65"/>
      <c r="CD58" s="65"/>
      <c r="CE58" s="65"/>
      <c r="CF58" s="65"/>
      <c r="CG58" s="65"/>
      <c r="CH58" s="65"/>
      <c r="CI58" s="125"/>
      <c r="CJ58" s="134"/>
    </row>
    <row r="59" spans="1:88" x14ac:dyDescent="0.3">
      <c r="A59" s="33" t="s">
        <v>253</v>
      </c>
      <c r="B59" s="63">
        <v>2.0000000000000001E-4</v>
      </c>
      <c r="C59" s="26" t="s">
        <v>42</v>
      </c>
      <c r="D59" s="78" t="str">
        <f>IFERROR(INDEX('I2015'!B$5:B$73,MATCH($C59,'I2015'!$A$5:$A$73,0)),"")</f>
        <v/>
      </c>
      <c r="E59" s="78" t="str">
        <f>IFERROR(INDEX('I2015'!C$5:C$73,MATCH($C59,'I2015'!$A$5:$A$73,0)),"")</f>
        <v/>
      </c>
      <c r="F59" s="78" t="str">
        <f>IFERROR(INDEX('I2015'!D$5:D$73,MATCH($C59,'I2015'!$A$5:$A$73,0)),"")</f>
        <v/>
      </c>
      <c r="G59" s="78" t="str">
        <f>IFERROR(INDEX('I2015'!E$5:E$73,MATCH($C59,'I2015'!$A$5:$A$73,0)),"")</f>
        <v/>
      </c>
      <c r="H59" s="78" t="str">
        <f>IFERROR(INDEX('I2015'!F$5:F$73,MATCH($C59,'I2015'!$A$5:$A$73,0)),"")</f>
        <v/>
      </c>
      <c r="I59" s="78" t="str">
        <f>IFERROR(INDEX('I2015'!G$5:G$73,MATCH($C59,'I2015'!$A$5:$A$73,0)),"")</f>
        <v/>
      </c>
      <c r="J59" s="78" t="str">
        <f>IFERROR(INDEX('I2015'!H$5:H$73,MATCH($C59,'I2015'!$A$5:$A$73,0)),"")</f>
        <v/>
      </c>
      <c r="K59" s="78" t="str">
        <f>IFERROR(INDEX('I2015'!I$5:I$73,MATCH($C59,'I2015'!$A$5:$A$73,0)),"")</f>
        <v/>
      </c>
      <c r="L59" s="78" t="str">
        <f>IFERROR(INDEX('I2015'!J$5:J$73,MATCH($C59,'I2015'!$A$5:$A$73,0)),"")</f>
        <v/>
      </c>
      <c r="M59" s="78" t="str">
        <f>IFERROR(INDEX('I2015'!K$5:K$73,MATCH($C59,'I2015'!$A$5:$A$73,0)),"")</f>
        <v/>
      </c>
      <c r="N59" s="78" t="str">
        <f>IFERROR(INDEX('I2015'!L$5:L$73,MATCH($C59,'I2015'!$A$5:$A$73,0)),"")</f>
        <v/>
      </c>
      <c r="O59" s="78" t="str">
        <f>IFERROR(INDEX('I2015'!M$5:M$73,MATCH($C59,'I2015'!$A$5:$A$73,0)),"")</f>
        <v/>
      </c>
      <c r="P59" s="78" t="str">
        <f>IFERROR(INDEX('I2016'!B$5:B$90,MATCH($C59,'I2016'!$A$5:$A$90,0)),"")</f>
        <v/>
      </c>
      <c r="Q59" s="78" t="str">
        <f>IFERROR(INDEX('I2016'!C$5:C$90,MATCH($C59,'I2016'!$A$5:$A$90,0)),"")</f>
        <v/>
      </c>
      <c r="R59" s="78" t="str">
        <f>IFERROR(INDEX('I2016'!D$5:D$90,MATCH($C59,'I2016'!$A$5:$A$90,0)),"")</f>
        <v/>
      </c>
      <c r="S59" s="78" t="str">
        <f>IFERROR(INDEX('I2016'!E$5:E$90,MATCH($C59,'I2016'!$A$5:$A$90,0)),"")</f>
        <v/>
      </c>
      <c r="T59" s="78" t="str">
        <f>IFERROR(INDEX('I2016'!F$5:F$90,MATCH($C59,'I2016'!$A$5:$A$90,0)),"")</f>
        <v/>
      </c>
      <c r="U59" s="78" t="str">
        <f>IFERROR(INDEX('I2016'!G$5:G$90,MATCH($C59,'I2016'!$A$5:$A$90,0)),"")</f>
        <v/>
      </c>
      <c r="V59" s="78" t="str">
        <f>IFERROR(INDEX('I2016'!H$5:H$90,MATCH($C59,'I2016'!$A$5:$A$90,0)),"")</f>
        <v/>
      </c>
      <c r="W59" s="78" t="str">
        <f>IFERROR(INDEX('I2016'!I$5:I$90,MATCH($C59,'I2016'!$A$5:$A$90,0)),"")</f>
        <v/>
      </c>
      <c r="X59" s="78" t="str">
        <f>IFERROR(INDEX('I2016'!J$5:J$90,MATCH($C59,'I2016'!$A$5:$A$90,0)),"")</f>
        <v/>
      </c>
      <c r="Y59" s="78" t="str">
        <f>IFERROR(INDEX('I2016'!K$5:K$90,MATCH($C59,'I2016'!$A$5:$A$90,0)),"")</f>
        <v/>
      </c>
      <c r="Z59" s="78" t="str">
        <f>IFERROR(INDEX('I2016'!L$5:L$90,MATCH($C59,'I2016'!$A$5:$A$90,0)),"")</f>
        <v/>
      </c>
      <c r="AA59" s="78" t="str">
        <f>IFERROR(INDEX('I2016'!M$5:M$90,MATCH($C59,'I2016'!$A$5:$A$90,0)),"")</f>
        <v/>
      </c>
      <c r="AB59" s="78" t="str">
        <f>IFERROR(INDEX('I2017'!B$5:B$96,MATCH($C59,'I2017'!$A$5:$A$96,0)),"")</f>
        <v/>
      </c>
      <c r="AC59" s="78" t="str">
        <f>IFERROR(INDEX('I2017'!C$5:C$96,MATCH($C59,'I2017'!$A$5:$A$96,0)),"")</f>
        <v/>
      </c>
      <c r="AD59" s="78" t="str">
        <f>IFERROR(INDEX('I2017'!D$5:D$96,MATCH($C59,'I2017'!$A$5:$A$96,0)),"")</f>
        <v/>
      </c>
      <c r="AE59" s="78" t="str">
        <f>IFERROR(INDEX('I2017'!E$5:E$96,MATCH($C59,'I2017'!$A$5:$A$96,0)),"")</f>
        <v/>
      </c>
      <c r="AF59" s="78" t="str">
        <f>IFERROR(INDEX('I2017'!F$5:F$96,MATCH($C59,'I2017'!$A$5:$A$96,0)),"")</f>
        <v/>
      </c>
      <c r="AG59" s="78" t="str">
        <f>IFERROR(INDEX('I2017'!G$5:G$96,MATCH($C59,'I2017'!$A$5:$A$96,0)),"")</f>
        <v/>
      </c>
      <c r="AH59" s="78" t="str">
        <f>IFERROR(INDEX('I2017'!H$5:H$96,MATCH($C59,'I2017'!$A$5:$A$96,0)),"")</f>
        <v/>
      </c>
      <c r="AI59" s="78" t="str">
        <f>IFERROR(INDEX('I2017'!I$5:I$96,MATCH($C59,'I2017'!$A$5:$A$96,0)),"")</f>
        <v/>
      </c>
      <c r="AJ59" s="78" t="str">
        <f>IFERROR(INDEX('I2017'!J$5:J$96,MATCH($C59,'I2017'!$A$5:$A$96,0)),"")</f>
        <v/>
      </c>
      <c r="AK59" s="78" t="str">
        <f>IFERROR(INDEX('I2017'!K$5:K$96,MATCH($C59,'I2017'!$A$5:$A$96,0)),"")</f>
        <v/>
      </c>
      <c r="AL59" s="78" t="str">
        <f>IFERROR(INDEX('I2017'!L$5:L$96,MATCH($C59,'I2017'!$A$5:$A$96,0)),"")</f>
        <v/>
      </c>
      <c r="AM59" s="78" t="str">
        <f>IFERROR(INDEX('I2017'!M$5:M$96,MATCH($C59,'I2017'!$A$5:$A$96,0)),"")</f>
        <v/>
      </c>
      <c r="AN59" s="78">
        <f>IFERROR(INDEX('I2018'!B$5:B$107,MATCH($C59,'I2018'!$A$5:$A$107,0)),"")</f>
        <v>147.34</v>
      </c>
      <c r="AO59" s="78">
        <f>IFERROR(INDEX('I2018'!C$5:C$107,MATCH($C59,'I2018'!$A$5:$A$107,0)),"")</f>
        <v>296.2</v>
      </c>
      <c r="AP59" s="78">
        <f>IFERROR(INDEX('I2018'!D$5:D$107,MATCH($C59,'I2018'!$A$5:$A$107,0)),"")</f>
        <v>839.72</v>
      </c>
      <c r="AQ59" s="78">
        <f>IFERROR(INDEX('I2018'!E$5:E$107,MATCH($C59,'I2018'!$A$5:$A$107,0)),"")</f>
        <v>270.45999999999998</v>
      </c>
      <c r="AR59" s="78">
        <f>IFERROR(INDEX('I2018'!F$5:F$107,MATCH($C59,'I2018'!$A$5:$A$107,0)),"")</f>
        <v>72.489999999999995</v>
      </c>
      <c r="AS59" s="78">
        <f>IFERROR(INDEX('I2018'!G$5:G$107,MATCH($C59,'I2018'!$A$5:$A$107,0)),"")</f>
        <v>62.97</v>
      </c>
      <c r="AT59" s="78">
        <f>IFERROR(INDEX('I2018'!H$5:H$107,MATCH($C59,'I2018'!$A$5:$A$107,0)),"")</f>
        <v>130.94</v>
      </c>
      <c r="AU59" s="78">
        <f>IFERROR(INDEX('I2018'!I$5:I$107,MATCH($C59,'I2018'!$A$5:$A$107,0)),"")</f>
        <v>83.04</v>
      </c>
      <c r="AV59" s="78">
        <f>IFERROR(INDEX('I2018'!J$5:J$107,MATCH($C59,'I2018'!$A$5:$A$107,0)),"")</f>
        <v>91.78</v>
      </c>
      <c r="AW59" s="78">
        <f>IFERROR(INDEX('I2018'!K$5:K$107,MATCH($C59,'I2018'!$A$5:$A$107,0)),"")</f>
        <v>93.22</v>
      </c>
      <c r="AX59" s="78">
        <f>IFERROR(INDEX('I2018'!L$5:L$107,MATCH($C59,'I2018'!$A$5:$A$107,0)),"")</f>
        <v>111.63</v>
      </c>
      <c r="AY59" s="78">
        <f>IFERROR(INDEX('I2018'!M$5:M$107,MATCH($C59,'I2018'!$A$5:$A$107,0)),"")</f>
        <v>61.35</v>
      </c>
      <c r="AZ59" s="78">
        <f>IFERROR(INDEX('I2019'!B$5:B$112,MATCH($C59,'I2019'!$A$5:$A$112,0)),"")</f>
        <v>443.97</v>
      </c>
      <c r="BA59" s="78">
        <f>IFERROR(INDEX('I2019'!C$5:C$112,MATCH($C59,'I2019'!$A$5:$A$112,0)),"")</f>
        <v>426.94</v>
      </c>
      <c r="BB59" s="78">
        <f>IFERROR(INDEX('I2019'!D$5:D$112,MATCH($C59,'I2019'!$A$5:$A$112,0)),"")</f>
        <v>95.23</v>
      </c>
      <c r="BC59" s="78">
        <f>IFERROR(INDEX('I2019'!E$5:E$112,MATCH($C59,'I2019'!$A$5:$A$112,0)),"")</f>
        <v>58.430000000000007</v>
      </c>
      <c r="BD59" s="78">
        <f>IFERROR(INDEX('I2019'!F$5:F$112,MATCH($C59,'I2019'!$A$5:$A$112,0)),"")</f>
        <v>60.430000000000007</v>
      </c>
      <c r="BE59" s="78">
        <f>IFERROR(INDEX('I2019'!G$5:G$112,MATCH($C59,'I2019'!$A$5:$A$112,0)),"")</f>
        <v>47.42</v>
      </c>
      <c r="BF59" s="78">
        <f>IFERROR(INDEX('I2019'!H$5:H$112,MATCH($C59,'I2019'!$A$5:$A$112,0)),"")</f>
        <v>80.510000000000005</v>
      </c>
      <c r="BG59" s="78">
        <f>IFERROR(INDEX('I2019'!I$5:I$112,MATCH($C59,'I2019'!$A$5:$A$112,0)),"")</f>
        <v>105.73</v>
      </c>
      <c r="BH59" s="78">
        <f>IFERROR(INDEX('I2019'!J$5:J$112,MATCH($C59,'I2019'!$A$5:$A$112,0)),"")</f>
        <v>118.95</v>
      </c>
      <c r="BI59" s="78">
        <f>IFERROR(INDEX('I2019'!K$5:K$112,MATCH($C59,'I2019'!$A$5:$A$112,0)),"")</f>
        <v>999.93999999999994</v>
      </c>
      <c r="BJ59" s="78">
        <f>IFERROR(INDEX('I2019'!L$5:L$112,MATCH($C59,'I2019'!$A$5:$A$112,0)),"")</f>
        <v>1012.14</v>
      </c>
      <c r="BK59" s="78">
        <f>IFERROR(INDEX('I2019'!M$5:M$112,MATCH($C59,'I2019'!$A$5:$A$112,0)),"")</f>
        <v>804.22</v>
      </c>
      <c r="BL59" s="78">
        <f>IFERROR(INDEX('I2020'!B$5:B$113,MATCH($C59,'I2020'!$A$5:$A$113,0)),"")</f>
        <v>348.68</v>
      </c>
      <c r="BM59" s="78">
        <f>IFERROR(INDEX('I2020'!C$5:C$113,MATCH($C59,'I2020'!$A$5:$A$113,0)),"")</f>
        <v>207.62</v>
      </c>
      <c r="BN59" s="78">
        <f>IFERROR(INDEX('I2020'!D$5:D$113,MATCH($C59,'I2020'!$A$5:$A$113,0)),"")</f>
        <v>1025.57</v>
      </c>
      <c r="BO59" s="78">
        <f>IFERROR(INDEX('I2020'!E$5:E$113,MATCH($C59,'I2020'!$A$5:$A$113,0)),"")</f>
        <v>821.89</v>
      </c>
      <c r="BP59" s="78">
        <f>IFERROR(INDEX('I2020'!F$5:F$113,MATCH($C59,'I2020'!$A$5:$A$113,0)),"")</f>
        <v>845.2</v>
      </c>
      <c r="BQ59" s="398">
        <f>IFERROR(INDEX('I2020'!G$5:G$113,MATCH($C59,'I2020'!$A$5:$A$113,0)),"")</f>
        <v>227.45</v>
      </c>
      <c r="BR59" s="153">
        <f t="shared" ref="BQ59:CI59" si="84">$B59*BR$31</f>
        <v>565.31811819366419</v>
      </c>
      <c r="BS59" s="153">
        <f t="shared" si="84"/>
        <v>573.25540064021516</v>
      </c>
      <c r="BT59" s="153">
        <f t="shared" si="84"/>
        <v>586.86528096257314</v>
      </c>
      <c r="BU59" s="153">
        <f t="shared" si="84"/>
        <v>605.44884284748343</v>
      </c>
      <c r="BV59" s="153">
        <f t="shared" si="84"/>
        <v>628.47308944005727</v>
      </c>
      <c r="BW59" s="153">
        <f t="shared" si="84"/>
        <v>655.53932762384045</v>
      </c>
      <c r="BX59" s="153">
        <f t="shared" si="84"/>
        <v>679.48373101194409</v>
      </c>
      <c r="BY59" s="153">
        <f t="shared" si="84"/>
        <v>700.96503775611984</v>
      </c>
      <c r="BZ59" s="153">
        <f t="shared" si="84"/>
        <v>720.51075394565919</v>
      </c>
      <c r="CA59" s="153">
        <f t="shared" si="84"/>
        <v>738.54340775340188</v>
      </c>
      <c r="CB59" s="153">
        <f t="shared" si="84"/>
        <v>755.40155286854929</v>
      </c>
      <c r="CC59" s="153">
        <f t="shared" si="84"/>
        <v>771.35657136065447</v>
      </c>
      <c r="CD59" s="153">
        <f t="shared" si="84"/>
        <v>786.62611609032581</v>
      </c>
      <c r="CE59" s="153">
        <f t="shared" si="84"/>
        <v>801.38486475909008</v>
      </c>
      <c r="CF59" s="153">
        <f t="shared" si="84"/>
        <v>815.77312327240384</v>
      </c>
      <c r="CG59" s="153">
        <f t="shared" si="84"/>
        <v>829.9037085550317</v>
      </c>
      <c r="CH59" s="153">
        <f t="shared" si="84"/>
        <v>843.86745493019055</v>
      </c>
      <c r="CI59" s="154">
        <f t="shared" si="84"/>
        <v>857.73761935161042</v>
      </c>
      <c r="CJ59" s="289"/>
    </row>
    <row r="60" spans="1:88" x14ac:dyDescent="0.3">
      <c r="A60" s="33"/>
      <c r="B60" s="68"/>
      <c r="C60" s="21" t="s">
        <v>43</v>
      </c>
      <c r="D60" s="102" t="str">
        <f>IFERROR(INDEX('I2015'!B$5:B$73,MATCH($C60,'I2015'!$A$5:$A$73,0)),"")</f>
        <v/>
      </c>
      <c r="E60" s="102" t="str">
        <f>IFERROR(INDEX('I2015'!C$5:C$73,MATCH($C60,'I2015'!$A$5:$A$73,0)),"")</f>
        <v/>
      </c>
      <c r="F60" s="102" t="str">
        <f>IFERROR(INDEX('I2015'!D$5:D$73,MATCH($C60,'I2015'!$A$5:$A$73,0)),"")</f>
        <v/>
      </c>
      <c r="G60" s="102" t="str">
        <f>IFERROR(INDEX('I2015'!E$5:E$73,MATCH($C60,'I2015'!$A$5:$A$73,0)),"")</f>
        <v/>
      </c>
      <c r="H60" s="102" t="str">
        <f>IFERROR(INDEX('I2015'!F$5:F$73,MATCH($C60,'I2015'!$A$5:$A$73,0)),"")</f>
        <v/>
      </c>
      <c r="I60" s="102" t="str">
        <f>IFERROR(INDEX('I2015'!G$5:G$73,MATCH($C60,'I2015'!$A$5:$A$73,0)),"")</f>
        <v/>
      </c>
      <c r="J60" s="102" t="str">
        <f>IFERROR(INDEX('I2015'!H$5:H$73,MATCH($C60,'I2015'!$A$5:$A$73,0)),"")</f>
        <v/>
      </c>
      <c r="K60" s="102" t="str">
        <f>IFERROR(INDEX('I2015'!I$5:I$73,MATCH($C60,'I2015'!$A$5:$A$73,0)),"")</f>
        <v/>
      </c>
      <c r="L60" s="102" t="str">
        <f>IFERROR(INDEX('I2015'!J$5:J$73,MATCH($C60,'I2015'!$A$5:$A$73,0)),"")</f>
        <v/>
      </c>
      <c r="M60" s="102" t="str">
        <f>IFERROR(INDEX('I2015'!K$5:K$73,MATCH($C60,'I2015'!$A$5:$A$73,0)),"")</f>
        <v/>
      </c>
      <c r="N60" s="102" t="str">
        <f>IFERROR(INDEX('I2015'!L$5:L$73,MATCH($C60,'I2015'!$A$5:$A$73,0)),"")</f>
        <v/>
      </c>
      <c r="O60" s="102" t="str">
        <f>IFERROR(INDEX('I2015'!M$5:M$73,MATCH($C60,'I2015'!$A$5:$A$73,0)),"")</f>
        <v/>
      </c>
      <c r="P60" s="102" t="str">
        <f>IFERROR(INDEX('I2016'!B$5:B$90,MATCH($C60,'I2016'!$A$5:$A$90,0)),"")</f>
        <v/>
      </c>
      <c r="Q60" s="102" t="str">
        <f>IFERROR(INDEX('I2016'!C$5:C$90,MATCH($C60,'I2016'!$A$5:$A$90,0)),"")</f>
        <v/>
      </c>
      <c r="R60" s="102" t="str">
        <f>IFERROR(INDEX('I2016'!D$5:D$90,MATCH($C60,'I2016'!$A$5:$A$90,0)),"")</f>
        <v/>
      </c>
      <c r="S60" s="102" t="str">
        <f>IFERROR(INDEX('I2016'!E$5:E$90,MATCH($C60,'I2016'!$A$5:$A$90,0)),"")</f>
        <v/>
      </c>
      <c r="T60" s="102" t="str">
        <f>IFERROR(INDEX('I2016'!F$5:F$90,MATCH($C60,'I2016'!$A$5:$A$90,0)),"")</f>
        <v/>
      </c>
      <c r="U60" s="102" t="str">
        <f>IFERROR(INDEX('I2016'!G$5:G$90,MATCH($C60,'I2016'!$A$5:$A$90,0)),"")</f>
        <v/>
      </c>
      <c r="V60" s="102" t="str">
        <f>IFERROR(INDEX('I2016'!H$5:H$90,MATCH($C60,'I2016'!$A$5:$A$90,0)),"")</f>
        <v/>
      </c>
      <c r="W60" s="102" t="str">
        <f>IFERROR(INDEX('I2016'!I$5:I$90,MATCH($C60,'I2016'!$A$5:$A$90,0)),"")</f>
        <v/>
      </c>
      <c r="X60" s="102" t="str">
        <f>IFERROR(INDEX('I2016'!J$5:J$90,MATCH($C60,'I2016'!$A$5:$A$90,0)),"")</f>
        <v/>
      </c>
      <c r="Y60" s="102" t="str">
        <f>IFERROR(INDEX('I2016'!K$5:K$90,MATCH($C60,'I2016'!$A$5:$A$90,0)),"")</f>
        <v/>
      </c>
      <c r="Z60" s="102" t="str">
        <f>IFERROR(INDEX('I2016'!L$5:L$90,MATCH($C60,'I2016'!$A$5:$A$90,0)),"")</f>
        <v/>
      </c>
      <c r="AA60" s="102" t="str">
        <f>IFERROR(INDEX('I2016'!M$5:M$90,MATCH($C60,'I2016'!$A$5:$A$90,0)),"")</f>
        <v/>
      </c>
      <c r="AB60" s="102" t="str">
        <f>IFERROR(INDEX('I2017'!B$5:B$96,MATCH($C60,'I2017'!$A$5:$A$96,0)),"")</f>
        <v/>
      </c>
      <c r="AC60" s="102" t="str">
        <f>IFERROR(INDEX('I2017'!C$5:C$96,MATCH($C60,'I2017'!$A$5:$A$96,0)),"")</f>
        <v/>
      </c>
      <c r="AD60" s="102" t="str">
        <f>IFERROR(INDEX('I2017'!D$5:D$96,MATCH($C60,'I2017'!$A$5:$A$96,0)),"")</f>
        <v/>
      </c>
      <c r="AE60" s="102" t="str">
        <f>IFERROR(INDEX('I2017'!E$5:E$96,MATCH($C60,'I2017'!$A$5:$A$96,0)),"")</f>
        <v/>
      </c>
      <c r="AF60" s="102" t="str">
        <f>IFERROR(INDEX('I2017'!F$5:F$96,MATCH($C60,'I2017'!$A$5:$A$96,0)),"")</f>
        <v/>
      </c>
      <c r="AG60" s="102" t="str">
        <f>IFERROR(INDEX('I2017'!G$5:G$96,MATCH($C60,'I2017'!$A$5:$A$96,0)),"")</f>
        <v/>
      </c>
      <c r="AH60" s="102" t="str">
        <f>IFERROR(INDEX('I2017'!H$5:H$96,MATCH($C60,'I2017'!$A$5:$A$96,0)),"")</f>
        <v/>
      </c>
      <c r="AI60" s="102" t="str">
        <f>IFERROR(INDEX('I2017'!I$5:I$96,MATCH($C60,'I2017'!$A$5:$A$96,0)),"")</f>
        <v/>
      </c>
      <c r="AJ60" s="102" t="str">
        <f>IFERROR(INDEX('I2017'!J$5:J$96,MATCH($C60,'I2017'!$A$5:$A$96,0)),"")</f>
        <v/>
      </c>
      <c r="AK60" s="102" t="str">
        <f>IFERROR(INDEX('I2017'!K$5:K$96,MATCH($C60,'I2017'!$A$5:$A$96,0)),"")</f>
        <v/>
      </c>
      <c r="AL60" s="102" t="str">
        <f>IFERROR(INDEX('I2017'!L$5:L$96,MATCH($C60,'I2017'!$A$5:$A$96,0)),"")</f>
        <v/>
      </c>
      <c r="AM60" s="102" t="str">
        <f>IFERROR(INDEX('I2017'!M$5:M$96,MATCH($C60,'I2017'!$A$5:$A$96,0)),"")</f>
        <v/>
      </c>
      <c r="AN60" s="102">
        <f>IFERROR(INDEX('I2018'!B$5:B$107,MATCH($C60,'I2018'!$A$5:$A$107,0)),"")</f>
        <v>0</v>
      </c>
      <c r="AO60" s="102">
        <f>IFERROR(INDEX('I2018'!C$5:C$107,MATCH($C60,'I2018'!$A$5:$A$107,0)),"")</f>
        <v>0</v>
      </c>
      <c r="AP60" s="102">
        <f>IFERROR(INDEX('I2018'!D$5:D$107,MATCH($C60,'I2018'!$A$5:$A$107,0)),"")</f>
        <v>0</v>
      </c>
      <c r="AQ60" s="102">
        <f>IFERROR(INDEX('I2018'!E$5:E$107,MATCH($C60,'I2018'!$A$5:$A$107,0)),"")</f>
        <v>0</v>
      </c>
      <c r="AR60" s="102">
        <f>IFERROR(INDEX('I2018'!F$5:F$107,MATCH($C60,'I2018'!$A$5:$A$107,0)),"")</f>
        <v>0</v>
      </c>
      <c r="AS60" s="102">
        <f>IFERROR(INDEX('I2018'!G$5:G$107,MATCH($C60,'I2018'!$A$5:$A$107,0)),"")</f>
        <v>0</v>
      </c>
      <c r="AT60" s="102">
        <f>IFERROR(INDEX('I2018'!H$5:H$107,MATCH($C60,'I2018'!$A$5:$A$107,0)),"")</f>
        <v>0</v>
      </c>
      <c r="AU60" s="102">
        <f>IFERROR(INDEX('I2018'!I$5:I$107,MATCH($C60,'I2018'!$A$5:$A$107,0)),"")</f>
        <v>0</v>
      </c>
      <c r="AV60" s="102">
        <f>IFERROR(INDEX('I2018'!J$5:J$107,MATCH($C60,'I2018'!$A$5:$A$107,0)),"")</f>
        <v>0</v>
      </c>
      <c r="AW60" s="102">
        <f>IFERROR(INDEX('I2018'!K$5:K$107,MATCH($C60,'I2018'!$A$5:$A$107,0)),"")</f>
        <v>2106.4299999999998</v>
      </c>
      <c r="AX60" s="102">
        <f>IFERROR(INDEX('I2018'!L$5:L$107,MATCH($C60,'I2018'!$A$5:$A$107,0)),"")</f>
        <v>7857.63</v>
      </c>
      <c r="AY60" s="102">
        <f>IFERROR(INDEX('I2018'!M$5:M$107,MATCH($C60,'I2018'!$A$5:$A$107,0)),"")</f>
        <v>5096.46</v>
      </c>
      <c r="AZ60" s="102">
        <f>IFERROR(INDEX('I2019'!B$5:B$112,MATCH($C60,'I2019'!$A$5:$A$112,0)),"")</f>
        <v>9344.5</v>
      </c>
      <c r="BA60" s="102">
        <f>IFERROR(INDEX('I2019'!C$5:C$112,MATCH($C60,'I2019'!$A$5:$A$112,0)),"")</f>
        <v>275.83</v>
      </c>
      <c r="BB60" s="102">
        <f>IFERROR(INDEX('I2019'!D$5:D$112,MATCH($C60,'I2019'!$A$5:$A$112,0)),"")</f>
        <v>15244.76</v>
      </c>
      <c r="BC60" s="102">
        <f>IFERROR(INDEX('I2019'!E$5:E$112,MATCH($C60,'I2019'!$A$5:$A$112,0)),"")</f>
        <v>25886.29</v>
      </c>
      <c r="BD60" s="102">
        <f>IFERROR(INDEX('I2019'!F$5:F$112,MATCH($C60,'I2019'!$A$5:$A$112,0)),"")</f>
        <v>15358.58</v>
      </c>
      <c r="BE60" s="102">
        <f>IFERROR(INDEX('I2019'!G$5:G$112,MATCH($C60,'I2019'!$A$5:$A$112,0)),"")</f>
        <v>9497.74</v>
      </c>
      <c r="BF60" s="102">
        <f>IFERROR(INDEX('I2019'!H$5:H$112,MATCH($C60,'I2019'!$A$5:$A$112,0)),"")</f>
        <v>5201.9399999999996</v>
      </c>
      <c r="BG60" s="102">
        <f>IFERROR(INDEX('I2019'!I$5:I$112,MATCH($C60,'I2019'!$A$5:$A$112,0)),"")</f>
        <v>3760.12</v>
      </c>
      <c r="BH60" s="102">
        <f>IFERROR(INDEX('I2019'!J$5:J$112,MATCH($C60,'I2019'!$A$5:$A$112,0)),"")</f>
        <v>4868.66</v>
      </c>
      <c r="BI60" s="102">
        <f>IFERROR(INDEX('I2019'!K$5:K$112,MATCH($C60,'I2019'!$A$5:$A$112,0)),"")</f>
        <v>1501.48</v>
      </c>
      <c r="BJ60" s="102">
        <f>IFERROR(INDEX('I2019'!L$5:L$112,MATCH($C60,'I2019'!$A$5:$A$112,0)),"")</f>
        <v>248.92</v>
      </c>
      <c r="BK60" s="102">
        <f>IFERROR(INDEX('I2019'!M$5:M$112,MATCH($C60,'I2019'!$A$5:$A$112,0)),"")</f>
        <v>0</v>
      </c>
      <c r="BL60" s="102">
        <f>IFERROR(INDEX('I2020'!B$5:B$113,MATCH($C60,'I2020'!$A$5:$A$113,0)),"")</f>
        <v>1585.26</v>
      </c>
      <c r="BM60" s="102">
        <f>IFERROR(INDEX('I2020'!C$5:C$113,MATCH($C60,'I2020'!$A$5:$A$113,0)),"")</f>
        <v>1105.17</v>
      </c>
      <c r="BN60" s="102">
        <f>IFERROR(INDEX('I2020'!D$5:D$113,MATCH($C60,'I2020'!$A$5:$A$113,0)),"")</f>
        <v>4026.43</v>
      </c>
      <c r="BO60" s="102">
        <f>IFERROR(INDEX('I2020'!E$5:E$113,MATCH($C60,'I2020'!$A$5:$A$113,0)),"")</f>
        <v>399.45</v>
      </c>
      <c r="BP60" s="102">
        <f>IFERROR(INDEX('I2020'!F$5:F$113,MATCH($C60,'I2020'!$A$5:$A$113,0)),"")</f>
        <v>573.6</v>
      </c>
      <c r="BQ60" s="392">
        <f>IFERROR(INDEX('I2020'!G$5:G$113,MATCH($C60,'I2020'!$A$5:$A$113,0)),"")</f>
        <v>974.24</v>
      </c>
      <c r="BR60" s="64"/>
      <c r="BS60" s="64"/>
      <c r="BT60" s="64"/>
      <c r="BU60" s="64"/>
      <c r="BV60" s="64"/>
      <c r="BW60" s="64"/>
      <c r="BX60" s="64"/>
      <c r="BY60" s="64"/>
      <c r="BZ60" s="64"/>
      <c r="CA60" s="64"/>
      <c r="CB60" s="64"/>
      <c r="CC60" s="64"/>
      <c r="CD60" s="64"/>
      <c r="CE60" s="64"/>
      <c r="CF60" s="64"/>
      <c r="CG60" s="64"/>
      <c r="CH60" s="64"/>
      <c r="CI60" s="124"/>
      <c r="CJ60" s="134"/>
    </row>
    <row r="61" spans="1:88" x14ac:dyDescent="0.3">
      <c r="A61" s="33"/>
      <c r="B61" s="68"/>
      <c r="C61" s="21" t="s">
        <v>130</v>
      </c>
      <c r="D61" s="102">
        <f>IFERROR(INDEX('I2015'!B$5:B$73,MATCH($C61,'I2015'!$A$5:$A$73,0)),"")</f>
        <v>0</v>
      </c>
      <c r="E61" s="102">
        <f>IFERROR(INDEX('I2015'!C$5:C$73,MATCH($C61,'I2015'!$A$5:$A$73,0)),"")</f>
        <v>15</v>
      </c>
      <c r="F61" s="102">
        <f>IFERROR(INDEX('I2015'!D$5:D$73,MATCH($C61,'I2015'!$A$5:$A$73,0)),"")</f>
        <v>0</v>
      </c>
      <c r="G61" s="102">
        <f>IFERROR(INDEX('I2015'!E$5:E$73,MATCH($C61,'I2015'!$A$5:$A$73,0)),"")</f>
        <v>0</v>
      </c>
      <c r="H61" s="102">
        <f>IFERROR(INDEX('I2015'!F$5:F$73,MATCH($C61,'I2015'!$A$5:$A$73,0)),"")</f>
        <v>0</v>
      </c>
      <c r="I61" s="102">
        <f>IFERROR(INDEX('I2015'!G$5:G$73,MATCH($C61,'I2015'!$A$5:$A$73,0)),"")</f>
        <v>0</v>
      </c>
      <c r="J61" s="102">
        <f>IFERROR(INDEX('I2015'!H$5:H$73,MATCH($C61,'I2015'!$A$5:$A$73,0)),"")</f>
        <v>0</v>
      </c>
      <c r="K61" s="102">
        <f>IFERROR(INDEX('I2015'!I$5:I$73,MATCH($C61,'I2015'!$A$5:$A$73,0)),"")</f>
        <v>0</v>
      </c>
      <c r="L61" s="102">
        <f>IFERROR(INDEX('I2015'!J$5:J$73,MATCH($C61,'I2015'!$A$5:$A$73,0)),"")</f>
        <v>0</v>
      </c>
      <c r="M61" s="102">
        <f>IFERROR(INDEX('I2015'!K$5:K$73,MATCH($C61,'I2015'!$A$5:$A$73,0)),"")</f>
        <v>0</v>
      </c>
      <c r="N61" s="102">
        <f>IFERROR(INDEX('I2015'!L$5:L$73,MATCH($C61,'I2015'!$A$5:$A$73,0)),"")</f>
        <v>0</v>
      </c>
      <c r="O61" s="102">
        <f>IFERROR(INDEX('I2015'!M$5:M$73,MATCH($C61,'I2015'!$A$5:$A$73,0)),"")</f>
        <v>0</v>
      </c>
      <c r="P61" s="102" t="str">
        <f>IFERROR(INDEX('I2016'!B$5:B$90,MATCH($C61,'I2016'!$A$5:$A$90,0)),"")</f>
        <v/>
      </c>
      <c r="Q61" s="102" t="str">
        <f>IFERROR(INDEX('I2016'!C$5:C$90,MATCH($C61,'I2016'!$A$5:$A$90,0)),"")</f>
        <v/>
      </c>
      <c r="R61" s="102" t="str">
        <f>IFERROR(INDEX('I2016'!D$5:D$90,MATCH($C61,'I2016'!$A$5:$A$90,0)),"")</f>
        <v/>
      </c>
      <c r="S61" s="102" t="str">
        <f>IFERROR(INDEX('I2016'!E$5:E$90,MATCH($C61,'I2016'!$A$5:$A$90,0)),"")</f>
        <v/>
      </c>
      <c r="T61" s="102" t="str">
        <f>IFERROR(INDEX('I2016'!F$5:F$90,MATCH($C61,'I2016'!$A$5:$A$90,0)),"")</f>
        <v/>
      </c>
      <c r="U61" s="102" t="str">
        <f>IFERROR(INDEX('I2016'!G$5:G$90,MATCH($C61,'I2016'!$A$5:$A$90,0)),"")</f>
        <v/>
      </c>
      <c r="V61" s="102" t="str">
        <f>IFERROR(INDEX('I2016'!H$5:H$90,MATCH($C61,'I2016'!$A$5:$A$90,0)),"")</f>
        <v/>
      </c>
      <c r="W61" s="102" t="str">
        <f>IFERROR(INDEX('I2016'!I$5:I$90,MATCH($C61,'I2016'!$A$5:$A$90,0)),"")</f>
        <v/>
      </c>
      <c r="X61" s="102" t="str">
        <f>IFERROR(INDEX('I2016'!J$5:J$90,MATCH($C61,'I2016'!$A$5:$A$90,0)),"")</f>
        <v/>
      </c>
      <c r="Y61" s="102" t="str">
        <f>IFERROR(INDEX('I2016'!K$5:K$90,MATCH($C61,'I2016'!$A$5:$A$90,0)),"")</f>
        <v/>
      </c>
      <c r="Z61" s="102" t="str">
        <f>IFERROR(INDEX('I2016'!L$5:L$90,MATCH($C61,'I2016'!$A$5:$A$90,0)),"")</f>
        <v/>
      </c>
      <c r="AA61" s="102" t="str">
        <f>IFERROR(INDEX('I2016'!M$5:M$90,MATCH($C61,'I2016'!$A$5:$A$90,0)),"")</f>
        <v/>
      </c>
      <c r="AB61" s="102">
        <f>IFERROR(INDEX('I2017'!B$5:B$96,MATCH($C61,'I2017'!$A$5:$A$96,0)),"")</f>
        <v>0</v>
      </c>
      <c r="AC61" s="102">
        <f>IFERROR(INDEX('I2017'!C$5:C$96,MATCH($C61,'I2017'!$A$5:$A$96,0)),"")</f>
        <v>0</v>
      </c>
      <c r="AD61" s="102">
        <f>IFERROR(INDEX('I2017'!D$5:D$96,MATCH($C61,'I2017'!$A$5:$A$96,0)),"")</f>
        <v>0</v>
      </c>
      <c r="AE61" s="102">
        <f>IFERROR(INDEX('I2017'!E$5:E$96,MATCH($C61,'I2017'!$A$5:$A$96,0)),"")</f>
        <v>0</v>
      </c>
      <c r="AF61" s="102">
        <f>IFERROR(INDEX('I2017'!F$5:F$96,MATCH($C61,'I2017'!$A$5:$A$96,0)),"")</f>
        <v>0</v>
      </c>
      <c r="AG61" s="102">
        <f>IFERROR(INDEX('I2017'!G$5:G$96,MATCH($C61,'I2017'!$A$5:$A$96,0)),"")</f>
        <v>0</v>
      </c>
      <c r="AH61" s="102">
        <f>IFERROR(INDEX('I2017'!H$5:H$96,MATCH($C61,'I2017'!$A$5:$A$96,0)),"")</f>
        <v>0</v>
      </c>
      <c r="AI61" s="102">
        <f>IFERROR(INDEX('I2017'!I$5:I$96,MATCH($C61,'I2017'!$A$5:$A$96,0)),"")</f>
        <v>0</v>
      </c>
      <c r="AJ61" s="102">
        <f>IFERROR(INDEX('I2017'!J$5:J$96,MATCH($C61,'I2017'!$A$5:$A$96,0)),"")</f>
        <v>490.08</v>
      </c>
      <c r="AK61" s="102">
        <f>IFERROR(INDEX('I2017'!K$5:K$96,MATCH($C61,'I2017'!$A$5:$A$96,0)),"")</f>
        <v>1</v>
      </c>
      <c r="AL61" s="102">
        <f>IFERROR(INDEX('I2017'!L$5:L$96,MATCH($C61,'I2017'!$A$5:$A$96,0)),"")</f>
        <v>0</v>
      </c>
      <c r="AM61" s="102">
        <f>IFERROR(INDEX('I2017'!M$5:M$96,MATCH($C61,'I2017'!$A$5:$A$96,0)),"")</f>
        <v>0</v>
      </c>
      <c r="AN61" s="102" t="str">
        <f>IFERROR(INDEX('I2018'!B$5:B$107,MATCH($C61,'I2018'!$A$5:$A$107,0)),"")</f>
        <v/>
      </c>
      <c r="AO61" s="102" t="str">
        <f>IFERROR(INDEX('I2018'!C$5:C$107,MATCH($C61,'I2018'!$A$5:$A$107,0)),"")</f>
        <v/>
      </c>
      <c r="AP61" s="102" t="str">
        <f>IFERROR(INDEX('I2018'!D$5:D$107,MATCH($C61,'I2018'!$A$5:$A$107,0)),"")</f>
        <v/>
      </c>
      <c r="AQ61" s="102" t="str">
        <f>IFERROR(INDEX('I2018'!E$5:E$107,MATCH($C61,'I2018'!$A$5:$A$107,0)),"")</f>
        <v/>
      </c>
      <c r="AR61" s="102" t="str">
        <f>IFERROR(INDEX('I2018'!F$5:F$107,MATCH($C61,'I2018'!$A$5:$A$107,0)),"")</f>
        <v/>
      </c>
      <c r="AS61" s="102" t="str">
        <f>IFERROR(INDEX('I2018'!G$5:G$107,MATCH($C61,'I2018'!$A$5:$A$107,0)),"")</f>
        <v/>
      </c>
      <c r="AT61" s="102" t="str">
        <f>IFERROR(INDEX('I2018'!H$5:H$107,MATCH($C61,'I2018'!$A$5:$A$107,0)),"")</f>
        <v/>
      </c>
      <c r="AU61" s="102" t="str">
        <f>IFERROR(INDEX('I2018'!I$5:I$107,MATCH($C61,'I2018'!$A$5:$A$107,0)),"")</f>
        <v/>
      </c>
      <c r="AV61" s="102" t="str">
        <f>IFERROR(INDEX('I2018'!J$5:J$107,MATCH($C61,'I2018'!$A$5:$A$107,0)),"")</f>
        <v/>
      </c>
      <c r="AW61" s="102" t="str">
        <f>IFERROR(INDEX('I2018'!K$5:K$107,MATCH($C61,'I2018'!$A$5:$A$107,0)),"")</f>
        <v/>
      </c>
      <c r="AX61" s="102" t="str">
        <f>IFERROR(INDEX('I2018'!L$5:L$107,MATCH($C61,'I2018'!$A$5:$A$107,0)),"")</f>
        <v/>
      </c>
      <c r="AY61" s="102" t="str">
        <f>IFERROR(INDEX('I2018'!M$5:M$107,MATCH($C61,'I2018'!$A$5:$A$107,0)),"")</f>
        <v/>
      </c>
      <c r="AZ61" s="102" t="str">
        <f>IFERROR(INDEX('I2019'!B$5:B$112,MATCH($C61,'I2019'!$A$5:$A$112,0)),"")</f>
        <v/>
      </c>
      <c r="BA61" s="102" t="str">
        <f>IFERROR(INDEX('I2019'!C$5:C$112,MATCH($C61,'I2019'!$A$5:$A$112,0)),"")</f>
        <v/>
      </c>
      <c r="BB61" s="102" t="str">
        <f>IFERROR(INDEX('I2019'!D$5:D$112,MATCH($C61,'I2019'!$A$5:$A$112,0)),"")</f>
        <v/>
      </c>
      <c r="BC61" s="102" t="str">
        <f>IFERROR(INDEX('I2019'!E$5:E$112,MATCH($C61,'I2019'!$A$5:$A$112,0)),"")</f>
        <v/>
      </c>
      <c r="BD61" s="102" t="str">
        <f>IFERROR(INDEX('I2019'!F$5:F$112,MATCH($C61,'I2019'!$A$5:$A$112,0)),"")</f>
        <v/>
      </c>
      <c r="BE61" s="102" t="str">
        <f>IFERROR(INDEX('I2019'!G$5:G$112,MATCH($C61,'I2019'!$A$5:$A$112,0)),"")</f>
        <v/>
      </c>
      <c r="BF61" s="102" t="str">
        <f>IFERROR(INDEX('I2019'!H$5:H$112,MATCH($C61,'I2019'!$A$5:$A$112,0)),"")</f>
        <v/>
      </c>
      <c r="BG61" s="102" t="str">
        <f>IFERROR(INDEX('I2019'!I$5:I$112,MATCH($C61,'I2019'!$A$5:$A$112,0)),"")</f>
        <v/>
      </c>
      <c r="BH61" s="102" t="str">
        <f>IFERROR(INDEX('I2019'!J$5:J$112,MATCH($C61,'I2019'!$A$5:$A$112,0)),"")</f>
        <v/>
      </c>
      <c r="BI61" s="102" t="str">
        <f>IFERROR(INDEX('I2019'!K$5:K$112,MATCH($C61,'I2019'!$A$5:$A$112,0)),"")</f>
        <v/>
      </c>
      <c r="BJ61" s="102" t="str">
        <f>IFERROR(INDEX('I2019'!L$5:L$112,MATCH($C61,'I2019'!$A$5:$A$112,0)),"")</f>
        <v/>
      </c>
      <c r="BK61" s="102" t="str">
        <f>IFERROR(INDEX('I2019'!M$5:M$112,MATCH($C61,'I2019'!$A$5:$A$112,0)),"")</f>
        <v/>
      </c>
      <c r="BL61" s="102">
        <f>IFERROR(INDEX('I2020'!B$5:B$113,MATCH($C61,'I2020'!$A$5:$A$113,0)),"")</f>
        <v>0</v>
      </c>
      <c r="BM61" s="102">
        <f>IFERROR(INDEX('I2020'!C$5:C$113,MATCH($C61,'I2020'!$A$5:$A$113,0)),"")</f>
        <v>103</v>
      </c>
      <c r="BN61" s="102">
        <f>IFERROR(INDEX('I2020'!D$5:D$113,MATCH($C61,'I2020'!$A$5:$A$113,0)),"")</f>
        <v>0</v>
      </c>
      <c r="BO61" s="102">
        <f>IFERROR(INDEX('I2020'!E$5:E$113,MATCH($C61,'I2020'!$A$5:$A$113,0)),"")</f>
        <v>0</v>
      </c>
      <c r="BP61" s="102">
        <f>IFERROR(INDEX('I2020'!F$5:F$113,MATCH($C61,'I2020'!$A$5:$A$113,0)),"")</f>
        <v>0</v>
      </c>
      <c r="BQ61" s="392">
        <f>IFERROR(INDEX('I2020'!G$5:G$113,MATCH($C61,'I2020'!$A$5:$A$113,0)),"")</f>
        <v>0</v>
      </c>
      <c r="BR61" s="64"/>
      <c r="BS61" s="64"/>
      <c r="BT61" s="64"/>
      <c r="BU61" s="64"/>
      <c r="BV61" s="64"/>
      <c r="BW61" s="64"/>
      <c r="BX61" s="64"/>
      <c r="BY61" s="64"/>
      <c r="BZ61" s="64"/>
      <c r="CA61" s="64"/>
      <c r="CB61" s="64"/>
      <c r="CC61" s="64"/>
      <c r="CD61" s="64"/>
      <c r="CE61" s="64"/>
      <c r="CF61" s="64"/>
      <c r="CG61" s="64"/>
      <c r="CH61" s="64"/>
      <c r="CI61" s="124"/>
      <c r="CJ61" s="134"/>
    </row>
    <row r="62" spans="1:88" x14ac:dyDescent="0.3">
      <c r="A62" s="33"/>
      <c r="B62" s="68"/>
      <c r="C62" s="21" t="s">
        <v>44</v>
      </c>
      <c r="D62" s="102">
        <f>IFERROR(INDEX('I2015'!B$5:B$73,MATCH($C62,'I2015'!$A$5:$A$73,0)),"")</f>
        <v>0</v>
      </c>
      <c r="E62" s="102">
        <f>IFERROR(INDEX('I2015'!C$5:C$73,MATCH($C62,'I2015'!$A$5:$A$73,0)),"")</f>
        <v>0</v>
      </c>
      <c r="F62" s="102">
        <f>IFERROR(INDEX('I2015'!D$5:D$73,MATCH($C62,'I2015'!$A$5:$A$73,0)),"")</f>
        <v>48</v>
      </c>
      <c r="G62" s="102">
        <f>IFERROR(INDEX('I2015'!E$5:E$73,MATCH($C62,'I2015'!$A$5:$A$73,0)),"")</f>
        <v>188.8</v>
      </c>
      <c r="H62" s="102">
        <f>IFERROR(INDEX('I2015'!F$5:F$73,MATCH($C62,'I2015'!$A$5:$A$73,0)),"")</f>
        <v>0</v>
      </c>
      <c r="I62" s="102">
        <f>IFERROR(INDEX('I2015'!G$5:G$73,MATCH($C62,'I2015'!$A$5:$A$73,0)),"")</f>
        <v>0</v>
      </c>
      <c r="J62" s="102">
        <f>IFERROR(INDEX('I2015'!H$5:H$73,MATCH($C62,'I2015'!$A$5:$A$73,0)),"")</f>
        <v>119.1</v>
      </c>
      <c r="K62" s="102">
        <f>IFERROR(INDEX('I2015'!I$5:I$73,MATCH($C62,'I2015'!$A$5:$A$73,0)),"")</f>
        <v>0</v>
      </c>
      <c r="L62" s="102">
        <f>IFERROR(INDEX('I2015'!J$5:J$73,MATCH($C62,'I2015'!$A$5:$A$73,0)),"")</f>
        <v>0</v>
      </c>
      <c r="M62" s="102">
        <f>IFERROR(INDEX('I2015'!K$5:K$73,MATCH($C62,'I2015'!$A$5:$A$73,0)),"")</f>
        <v>119.1</v>
      </c>
      <c r="N62" s="102">
        <f>IFERROR(INDEX('I2015'!L$5:L$73,MATCH($C62,'I2015'!$A$5:$A$73,0)),"")</f>
        <v>0</v>
      </c>
      <c r="O62" s="102">
        <f>IFERROR(INDEX('I2015'!M$5:M$73,MATCH($C62,'I2015'!$A$5:$A$73,0)),"")</f>
        <v>0</v>
      </c>
      <c r="P62" s="102">
        <f>IFERROR(INDEX('I2016'!B$5:B$90,MATCH($C62,'I2016'!$A$5:$A$90,0)),"")</f>
        <v>146.80000000000001</v>
      </c>
      <c r="Q62" s="102">
        <f>IFERROR(INDEX('I2016'!C$5:C$90,MATCH($C62,'I2016'!$A$5:$A$90,0)),"")</f>
        <v>0</v>
      </c>
      <c r="R62" s="102">
        <f>IFERROR(INDEX('I2016'!D$5:D$90,MATCH($C62,'I2016'!$A$5:$A$90,0)),"")</f>
        <v>0</v>
      </c>
      <c r="S62" s="102">
        <f>IFERROR(INDEX('I2016'!E$5:E$90,MATCH($C62,'I2016'!$A$5:$A$90,0)),"")</f>
        <v>0</v>
      </c>
      <c r="T62" s="102">
        <f>IFERROR(INDEX('I2016'!F$5:F$90,MATCH($C62,'I2016'!$A$5:$A$90,0)),"")</f>
        <v>143.6</v>
      </c>
      <c r="U62" s="102">
        <f>IFERROR(INDEX('I2016'!G$5:G$90,MATCH($C62,'I2016'!$A$5:$A$90,0)),"")</f>
        <v>0</v>
      </c>
      <c r="V62" s="102">
        <f>IFERROR(INDEX('I2016'!H$5:H$90,MATCH($C62,'I2016'!$A$5:$A$90,0)),"")</f>
        <v>0</v>
      </c>
      <c r="W62" s="102">
        <f>IFERROR(INDEX('I2016'!I$5:I$90,MATCH($C62,'I2016'!$A$5:$A$90,0)),"")</f>
        <v>0</v>
      </c>
      <c r="X62" s="102">
        <f>IFERROR(INDEX('I2016'!J$5:J$90,MATCH($C62,'I2016'!$A$5:$A$90,0)),"")</f>
        <v>111.6</v>
      </c>
      <c r="Y62" s="102">
        <f>IFERROR(INDEX('I2016'!K$5:K$90,MATCH($C62,'I2016'!$A$5:$A$90,0)),"")</f>
        <v>0</v>
      </c>
      <c r="Z62" s="102">
        <f>IFERROR(INDEX('I2016'!L$5:L$90,MATCH($C62,'I2016'!$A$5:$A$90,0)),"")</f>
        <v>0</v>
      </c>
      <c r="AA62" s="102">
        <f>IFERROR(INDEX('I2016'!M$5:M$90,MATCH($C62,'I2016'!$A$5:$A$90,0)),"")</f>
        <v>0</v>
      </c>
      <c r="AB62" s="102">
        <f>IFERROR(INDEX('I2017'!B$5:B$96,MATCH($C62,'I2017'!$A$5:$A$96,0)),"")</f>
        <v>120.68</v>
      </c>
      <c r="AC62" s="102">
        <f>IFERROR(INDEX('I2017'!C$5:C$96,MATCH($C62,'I2017'!$A$5:$A$96,0)),"")</f>
        <v>0</v>
      </c>
      <c r="AD62" s="102">
        <f>IFERROR(INDEX('I2017'!D$5:D$96,MATCH($C62,'I2017'!$A$5:$A$96,0)),"")</f>
        <v>0</v>
      </c>
      <c r="AE62" s="102">
        <f>IFERROR(INDEX('I2017'!E$5:E$96,MATCH($C62,'I2017'!$A$5:$A$96,0)),"")</f>
        <v>2214</v>
      </c>
      <c r="AF62" s="102">
        <f>IFERROR(INDEX('I2017'!F$5:F$96,MATCH($C62,'I2017'!$A$5:$A$96,0)),"")</f>
        <v>1112.1600000000001</v>
      </c>
      <c r="AG62" s="102">
        <f>IFERROR(INDEX('I2017'!G$5:G$96,MATCH($C62,'I2017'!$A$5:$A$96,0)),"")</f>
        <v>0</v>
      </c>
      <c r="AH62" s="102">
        <f>IFERROR(INDEX('I2017'!H$5:H$96,MATCH($C62,'I2017'!$A$5:$A$96,0)),"")</f>
        <v>0</v>
      </c>
      <c r="AI62" s="102">
        <f>IFERROR(INDEX('I2017'!I$5:I$96,MATCH($C62,'I2017'!$A$5:$A$96,0)),"")</f>
        <v>0</v>
      </c>
      <c r="AJ62" s="102">
        <f>IFERROR(INDEX('I2017'!J$5:J$96,MATCH($C62,'I2017'!$A$5:$A$96,0)),"")</f>
        <v>1112.1600000000001</v>
      </c>
      <c r="AK62" s="102">
        <f>IFERROR(INDEX('I2017'!K$5:K$96,MATCH($C62,'I2017'!$A$5:$A$96,0)),"")</f>
        <v>0</v>
      </c>
      <c r="AL62" s="102">
        <f>IFERROR(INDEX('I2017'!L$5:L$96,MATCH($C62,'I2017'!$A$5:$A$96,0)),"")</f>
        <v>0</v>
      </c>
      <c r="AM62" s="102">
        <f>IFERROR(INDEX('I2017'!M$5:M$96,MATCH($C62,'I2017'!$A$5:$A$96,0)),"")</f>
        <v>0</v>
      </c>
      <c r="AN62" s="102">
        <f>IFERROR(INDEX('I2018'!B$5:B$107,MATCH($C62,'I2018'!$A$5:$A$107,0)),"")</f>
        <v>0</v>
      </c>
      <c r="AO62" s="102">
        <f>IFERROR(INDEX('I2018'!C$5:C$107,MATCH($C62,'I2018'!$A$5:$A$107,0)),"")</f>
        <v>0</v>
      </c>
      <c r="AP62" s="102">
        <f>IFERROR(INDEX('I2018'!D$5:D$107,MATCH($C62,'I2018'!$A$5:$A$107,0)),"")</f>
        <v>0</v>
      </c>
      <c r="AQ62" s="102">
        <f>IFERROR(INDEX('I2018'!E$5:E$107,MATCH($C62,'I2018'!$A$5:$A$107,0)),"")</f>
        <v>0</v>
      </c>
      <c r="AR62" s="102">
        <f>IFERROR(INDEX('I2018'!F$5:F$107,MATCH($C62,'I2018'!$A$5:$A$107,0)),"")</f>
        <v>5850</v>
      </c>
      <c r="AS62" s="102">
        <f>IFERROR(INDEX('I2018'!G$5:G$107,MATCH($C62,'I2018'!$A$5:$A$107,0)),"")</f>
        <v>0</v>
      </c>
      <c r="AT62" s="102">
        <f>IFERROR(INDEX('I2018'!H$5:H$107,MATCH($C62,'I2018'!$A$5:$A$107,0)),"")</f>
        <v>0</v>
      </c>
      <c r="AU62" s="102">
        <f>IFERROR(INDEX('I2018'!I$5:I$107,MATCH($C62,'I2018'!$A$5:$A$107,0)),"")</f>
        <v>1117.73</v>
      </c>
      <c r="AV62" s="102">
        <f>IFERROR(INDEX('I2018'!J$5:J$107,MATCH($C62,'I2018'!$A$5:$A$107,0)),"")</f>
        <v>0</v>
      </c>
      <c r="AW62" s="102">
        <f>IFERROR(INDEX('I2018'!K$5:K$107,MATCH($C62,'I2018'!$A$5:$A$107,0)),"")</f>
        <v>0</v>
      </c>
      <c r="AX62" s="102">
        <f>IFERROR(INDEX('I2018'!L$5:L$107,MATCH($C62,'I2018'!$A$5:$A$107,0)),"")</f>
        <v>0</v>
      </c>
      <c r="AY62" s="102">
        <f>IFERROR(INDEX('I2018'!M$5:M$107,MATCH($C62,'I2018'!$A$5:$A$107,0)),"")</f>
        <v>0</v>
      </c>
      <c r="AZ62" s="102">
        <f>IFERROR(INDEX('I2019'!B$5:B$112,MATCH($C62,'I2019'!$A$5:$A$112,0)),"")</f>
        <v>0</v>
      </c>
      <c r="BA62" s="102">
        <f>IFERROR(INDEX('I2019'!C$5:C$112,MATCH($C62,'I2019'!$A$5:$A$112,0)),"")</f>
        <v>0</v>
      </c>
      <c r="BB62" s="102">
        <f>IFERROR(INDEX('I2019'!D$5:D$112,MATCH($C62,'I2019'!$A$5:$A$112,0)),"")</f>
        <v>0</v>
      </c>
      <c r="BC62" s="102">
        <f>IFERROR(INDEX('I2019'!E$5:E$112,MATCH($C62,'I2019'!$A$5:$A$112,0)),"")</f>
        <v>0</v>
      </c>
      <c r="BD62" s="102">
        <f>IFERROR(INDEX('I2019'!F$5:F$112,MATCH($C62,'I2019'!$A$5:$A$112,0)),"")</f>
        <v>0</v>
      </c>
      <c r="BE62" s="102">
        <f>IFERROR(INDEX('I2019'!G$5:G$112,MATCH($C62,'I2019'!$A$5:$A$112,0)),"")</f>
        <v>0</v>
      </c>
      <c r="BF62" s="102">
        <f>IFERROR(INDEX('I2019'!H$5:H$112,MATCH($C62,'I2019'!$A$5:$A$112,0)),"")</f>
        <v>1090.77</v>
      </c>
      <c r="BG62" s="102">
        <f>IFERROR(INDEX('I2019'!I$5:I$112,MATCH($C62,'I2019'!$A$5:$A$112,0)),"")</f>
        <v>0</v>
      </c>
      <c r="BH62" s="102">
        <f>IFERROR(INDEX('I2019'!J$5:J$112,MATCH($C62,'I2019'!$A$5:$A$112,0)),"")</f>
        <v>0</v>
      </c>
      <c r="BI62" s="102">
        <f>IFERROR(INDEX('I2019'!K$5:K$112,MATCH($C62,'I2019'!$A$5:$A$112,0)),"")</f>
        <v>0</v>
      </c>
      <c r="BJ62" s="102">
        <f>IFERROR(INDEX('I2019'!L$5:L$112,MATCH($C62,'I2019'!$A$5:$A$112,0)),"")</f>
        <v>1816</v>
      </c>
      <c r="BK62" s="102">
        <f>IFERROR(INDEX('I2019'!M$5:M$112,MATCH($C62,'I2019'!$A$5:$A$112,0)),"")</f>
        <v>0</v>
      </c>
      <c r="BL62" s="102" t="str">
        <f>IFERROR(INDEX('I2020'!B$5:B$113,MATCH($C62,'I2020'!$A$5:$A$113,0)),"")</f>
        <v/>
      </c>
      <c r="BM62" s="102" t="str">
        <f>IFERROR(INDEX('I2020'!C$5:C$113,MATCH($C62,'I2020'!$A$5:$A$113,0)),"")</f>
        <v/>
      </c>
      <c r="BN62" s="102" t="str">
        <f>IFERROR(INDEX('I2020'!D$5:D$113,MATCH($C62,'I2020'!$A$5:$A$113,0)),"")</f>
        <v/>
      </c>
      <c r="BO62" s="102" t="str">
        <f>IFERROR(INDEX('I2020'!E$5:E$113,MATCH($C62,'I2020'!$A$5:$A$113,0)),"")</f>
        <v/>
      </c>
      <c r="BP62" s="102" t="str">
        <f>IFERROR(INDEX('I2020'!F$5:F$113,MATCH($C62,'I2020'!$A$5:$A$113,0)),"")</f>
        <v/>
      </c>
      <c r="BQ62" s="392" t="str">
        <f>IFERROR(INDEX('I2020'!G$5:G$113,MATCH($C62,'I2020'!$A$5:$A$113,0)),"")</f>
        <v/>
      </c>
      <c r="BR62" s="64"/>
      <c r="BS62" s="64"/>
      <c r="BT62" s="64"/>
      <c r="BU62" s="64"/>
      <c r="BV62" s="64"/>
      <c r="BW62" s="64"/>
      <c r="BX62" s="64"/>
      <c r="BY62" s="64"/>
      <c r="BZ62" s="64"/>
      <c r="CA62" s="64"/>
      <c r="CB62" s="64"/>
      <c r="CC62" s="64"/>
      <c r="CD62" s="64"/>
      <c r="CE62" s="64"/>
      <c r="CF62" s="64"/>
      <c r="CG62" s="64"/>
      <c r="CH62" s="64"/>
      <c r="CI62" s="124"/>
      <c r="CJ62" s="134"/>
    </row>
    <row r="63" spans="1:88" x14ac:dyDescent="0.3">
      <c r="A63" s="33"/>
      <c r="B63" s="68"/>
      <c r="C63" s="21" t="s">
        <v>45</v>
      </c>
      <c r="D63" s="102" t="str">
        <f>IFERROR(INDEX('I2015'!B$5:B$73,MATCH($C63,'I2015'!$A$5:$A$73,0)),"")</f>
        <v/>
      </c>
      <c r="E63" s="102" t="str">
        <f>IFERROR(INDEX('I2015'!C$5:C$73,MATCH($C63,'I2015'!$A$5:$A$73,0)),"")</f>
        <v/>
      </c>
      <c r="F63" s="102" t="str">
        <f>IFERROR(INDEX('I2015'!D$5:D$73,MATCH($C63,'I2015'!$A$5:$A$73,0)),"")</f>
        <v/>
      </c>
      <c r="G63" s="102" t="str">
        <f>IFERROR(INDEX('I2015'!E$5:E$73,MATCH($C63,'I2015'!$A$5:$A$73,0)),"")</f>
        <v/>
      </c>
      <c r="H63" s="102" t="str">
        <f>IFERROR(INDEX('I2015'!F$5:F$73,MATCH($C63,'I2015'!$A$5:$A$73,0)),"")</f>
        <v/>
      </c>
      <c r="I63" s="102" t="str">
        <f>IFERROR(INDEX('I2015'!G$5:G$73,MATCH($C63,'I2015'!$A$5:$A$73,0)),"")</f>
        <v/>
      </c>
      <c r="J63" s="102" t="str">
        <f>IFERROR(INDEX('I2015'!H$5:H$73,MATCH($C63,'I2015'!$A$5:$A$73,0)),"")</f>
        <v/>
      </c>
      <c r="K63" s="102" t="str">
        <f>IFERROR(INDEX('I2015'!I$5:I$73,MATCH($C63,'I2015'!$A$5:$A$73,0)),"")</f>
        <v/>
      </c>
      <c r="L63" s="102" t="str">
        <f>IFERROR(INDEX('I2015'!J$5:J$73,MATCH($C63,'I2015'!$A$5:$A$73,0)),"")</f>
        <v/>
      </c>
      <c r="M63" s="102" t="str">
        <f>IFERROR(INDEX('I2015'!K$5:K$73,MATCH($C63,'I2015'!$A$5:$A$73,0)),"")</f>
        <v/>
      </c>
      <c r="N63" s="102" t="str">
        <f>IFERROR(INDEX('I2015'!L$5:L$73,MATCH($C63,'I2015'!$A$5:$A$73,0)),"")</f>
        <v/>
      </c>
      <c r="O63" s="102" t="str">
        <f>IFERROR(INDEX('I2015'!M$5:M$73,MATCH($C63,'I2015'!$A$5:$A$73,0)),"")</f>
        <v/>
      </c>
      <c r="P63" s="102">
        <f>IFERROR(INDEX('I2016'!B$5:B$90,MATCH($C63,'I2016'!$A$5:$A$90,0)),"")</f>
        <v>0</v>
      </c>
      <c r="Q63" s="102">
        <f>IFERROR(INDEX('I2016'!C$5:C$90,MATCH($C63,'I2016'!$A$5:$A$90,0)),"")</f>
        <v>0</v>
      </c>
      <c r="R63" s="102">
        <f>IFERROR(INDEX('I2016'!D$5:D$90,MATCH($C63,'I2016'!$A$5:$A$90,0)),"")</f>
        <v>0</v>
      </c>
      <c r="S63" s="102">
        <f>IFERROR(INDEX('I2016'!E$5:E$90,MATCH($C63,'I2016'!$A$5:$A$90,0)),"")</f>
        <v>0</v>
      </c>
      <c r="T63" s="102">
        <f>IFERROR(INDEX('I2016'!F$5:F$90,MATCH($C63,'I2016'!$A$5:$A$90,0)),"")</f>
        <v>198.52</v>
      </c>
      <c r="U63" s="102">
        <f>IFERROR(INDEX('I2016'!G$5:G$90,MATCH($C63,'I2016'!$A$5:$A$90,0)),"")</f>
        <v>288.07</v>
      </c>
      <c r="V63" s="102">
        <f>IFERROR(INDEX('I2016'!H$5:H$90,MATCH($C63,'I2016'!$A$5:$A$90,0)),"")</f>
        <v>111.85</v>
      </c>
      <c r="W63" s="102">
        <f>IFERROR(INDEX('I2016'!I$5:I$90,MATCH($C63,'I2016'!$A$5:$A$90,0)),"")</f>
        <v>218.5</v>
      </c>
      <c r="X63" s="102">
        <f>IFERROR(INDEX('I2016'!J$5:J$90,MATCH($C63,'I2016'!$A$5:$A$90,0)),"")</f>
        <v>389.4</v>
      </c>
      <c r="Y63" s="102">
        <f>IFERROR(INDEX('I2016'!K$5:K$90,MATCH($C63,'I2016'!$A$5:$A$90,0)),"")</f>
        <v>0</v>
      </c>
      <c r="Z63" s="102">
        <f>IFERROR(INDEX('I2016'!L$5:L$90,MATCH($C63,'I2016'!$A$5:$A$90,0)),"")</f>
        <v>0</v>
      </c>
      <c r="AA63" s="102">
        <f>IFERROR(INDEX('I2016'!M$5:M$90,MATCH($C63,'I2016'!$A$5:$A$90,0)),"")</f>
        <v>0</v>
      </c>
      <c r="AB63" s="102">
        <f>IFERROR(INDEX('I2017'!B$5:B$96,MATCH($C63,'I2017'!$A$5:$A$96,0)),"")</f>
        <v>0</v>
      </c>
      <c r="AC63" s="102">
        <f>IFERROR(INDEX('I2017'!C$5:C$96,MATCH($C63,'I2017'!$A$5:$A$96,0)),"")</f>
        <v>175.56</v>
      </c>
      <c r="AD63" s="102">
        <f>IFERROR(INDEX('I2017'!D$5:D$96,MATCH($C63,'I2017'!$A$5:$A$96,0)),"")</f>
        <v>22.1</v>
      </c>
      <c r="AE63" s="102">
        <f>IFERROR(INDEX('I2017'!E$5:E$96,MATCH($C63,'I2017'!$A$5:$A$96,0)),"")</f>
        <v>0</v>
      </c>
      <c r="AF63" s="102">
        <f>IFERROR(INDEX('I2017'!F$5:F$96,MATCH($C63,'I2017'!$A$5:$A$96,0)),"")</f>
        <v>0</v>
      </c>
      <c r="AG63" s="102">
        <f>IFERROR(INDEX('I2017'!G$5:G$96,MATCH($C63,'I2017'!$A$5:$A$96,0)),"")</f>
        <v>442.29</v>
      </c>
      <c r="AH63" s="102">
        <f>IFERROR(INDEX('I2017'!H$5:H$96,MATCH($C63,'I2017'!$A$5:$A$96,0)),"")</f>
        <v>367.09</v>
      </c>
      <c r="AI63" s="102">
        <f>IFERROR(INDEX('I2017'!I$5:I$96,MATCH($C63,'I2017'!$A$5:$A$96,0)),"")</f>
        <v>165.91</v>
      </c>
      <c r="AJ63" s="102">
        <f>IFERROR(INDEX('I2017'!J$5:J$96,MATCH($C63,'I2017'!$A$5:$A$96,0)),"")</f>
        <v>929.9</v>
      </c>
      <c r="AK63" s="102">
        <f>IFERROR(INDEX('I2017'!K$5:K$96,MATCH($C63,'I2017'!$A$5:$A$96,0)),"")</f>
        <v>1111.74</v>
      </c>
      <c r="AL63" s="102">
        <f>IFERROR(INDEX('I2017'!L$5:L$96,MATCH($C63,'I2017'!$A$5:$A$96,0)),"")</f>
        <v>2056.46</v>
      </c>
      <c r="AM63" s="102">
        <f>IFERROR(INDEX('I2017'!M$5:M$96,MATCH($C63,'I2017'!$A$5:$A$96,0)),"")</f>
        <v>82.43</v>
      </c>
      <c r="AN63" s="102">
        <f>IFERROR(INDEX('I2018'!B$5:B$107,MATCH($C63,'I2018'!$A$5:$A$107,0)),"")</f>
        <v>39.119999999999997</v>
      </c>
      <c r="AO63" s="102">
        <f>IFERROR(INDEX('I2018'!C$5:C$107,MATCH($C63,'I2018'!$A$5:$A$107,0)),"")</f>
        <v>279.19</v>
      </c>
      <c r="AP63" s="102">
        <f>IFERROR(INDEX('I2018'!D$5:D$107,MATCH($C63,'I2018'!$A$5:$A$107,0)),"")</f>
        <v>103.45</v>
      </c>
      <c r="AQ63" s="102">
        <f>IFERROR(INDEX('I2018'!E$5:E$107,MATCH($C63,'I2018'!$A$5:$A$107,0)),"")</f>
        <v>252.65</v>
      </c>
      <c r="AR63" s="102">
        <f>IFERROR(INDEX('I2018'!F$5:F$107,MATCH($C63,'I2018'!$A$5:$A$107,0)),"")</f>
        <v>194.41</v>
      </c>
      <c r="AS63" s="102">
        <f>IFERROR(INDEX('I2018'!G$5:G$107,MATCH($C63,'I2018'!$A$5:$A$107,0)),"")</f>
        <v>0</v>
      </c>
      <c r="AT63" s="102">
        <f>IFERROR(INDEX('I2018'!H$5:H$107,MATCH($C63,'I2018'!$A$5:$A$107,0)),"")</f>
        <v>0</v>
      </c>
      <c r="AU63" s="102">
        <f>IFERROR(INDEX('I2018'!I$5:I$107,MATCH($C63,'I2018'!$A$5:$A$107,0)),"")</f>
        <v>0</v>
      </c>
      <c r="AV63" s="102">
        <f>IFERROR(INDEX('I2018'!J$5:J$107,MATCH($C63,'I2018'!$A$5:$A$107,0)),"")</f>
        <v>0</v>
      </c>
      <c r="AW63" s="102">
        <f>IFERROR(INDEX('I2018'!K$5:K$107,MATCH($C63,'I2018'!$A$5:$A$107,0)),"")</f>
        <v>0</v>
      </c>
      <c r="AX63" s="102">
        <f>IFERROR(INDEX('I2018'!L$5:L$107,MATCH($C63,'I2018'!$A$5:$A$107,0)),"")</f>
        <v>0</v>
      </c>
      <c r="AY63" s="102">
        <f>IFERROR(INDEX('I2018'!M$5:M$107,MATCH($C63,'I2018'!$A$5:$A$107,0)),"")</f>
        <v>197.46</v>
      </c>
      <c r="AZ63" s="102">
        <f>IFERROR(INDEX('I2019'!B$5:B$112,MATCH($C63,'I2019'!$A$5:$A$112,0)),"")</f>
        <v>481.37</v>
      </c>
      <c r="BA63" s="102">
        <f>IFERROR(INDEX('I2019'!C$5:C$112,MATCH($C63,'I2019'!$A$5:$A$112,0)),"")</f>
        <v>363.54</v>
      </c>
      <c r="BB63" s="102">
        <f>IFERROR(INDEX('I2019'!D$5:D$112,MATCH($C63,'I2019'!$A$5:$A$112,0)),"")</f>
        <v>157.5</v>
      </c>
      <c r="BC63" s="102">
        <f>IFERROR(INDEX('I2019'!E$5:E$112,MATCH($C63,'I2019'!$A$5:$A$112,0)),"")</f>
        <v>0</v>
      </c>
      <c r="BD63" s="102">
        <f>IFERROR(INDEX('I2019'!F$5:F$112,MATCH($C63,'I2019'!$A$5:$A$112,0)),"")</f>
        <v>0</v>
      </c>
      <c r="BE63" s="102">
        <f>IFERROR(INDEX('I2019'!G$5:G$112,MATCH($C63,'I2019'!$A$5:$A$112,0)),"")</f>
        <v>0</v>
      </c>
      <c r="BF63" s="102">
        <f>IFERROR(INDEX('I2019'!H$5:H$112,MATCH($C63,'I2019'!$A$5:$A$112,0)),"")</f>
        <v>0</v>
      </c>
      <c r="BG63" s="102">
        <f>IFERROR(INDEX('I2019'!I$5:I$112,MATCH($C63,'I2019'!$A$5:$A$112,0)),"")</f>
        <v>0</v>
      </c>
      <c r="BH63" s="102">
        <f>IFERROR(INDEX('I2019'!J$5:J$112,MATCH($C63,'I2019'!$A$5:$A$112,0)),"")</f>
        <v>0</v>
      </c>
      <c r="BI63" s="102">
        <f>IFERROR(INDEX('I2019'!K$5:K$112,MATCH($C63,'I2019'!$A$5:$A$112,0)),"")</f>
        <v>0</v>
      </c>
      <c r="BJ63" s="102">
        <f>IFERROR(INDEX('I2019'!L$5:L$112,MATCH($C63,'I2019'!$A$5:$A$112,0)),"")</f>
        <v>0</v>
      </c>
      <c r="BK63" s="102">
        <f>IFERROR(INDEX('I2019'!M$5:M$112,MATCH($C63,'I2019'!$A$5:$A$112,0)),"")</f>
        <v>0</v>
      </c>
      <c r="BL63" s="102" t="str">
        <f>IFERROR(INDEX('I2020'!B$5:B$113,MATCH($C63,'I2020'!$A$5:$A$113,0)),"")</f>
        <v/>
      </c>
      <c r="BM63" s="102" t="str">
        <f>IFERROR(INDEX('I2020'!C$5:C$113,MATCH($C63,'I2020'!$A$5:$A$113,0)),"")</f>
        <v/>
      </c>
      <c r="BN63" s="102" t="str">
        <f>IFERROR(INDEX('I2020'!D$5:D$113,MATCH($C63,'I2020'!$A$5:$A$113,0)),"")</f>
        <v/>
      </c>
      <c r="BO63" s="102" t="str">
        <f>IFERROR(INDEX('I2020'!E$5:E$113,MATCH($C63,'I2020'!$A$5:$A$113,0)),"")</f>
        <v/>
      </c>
      <c r="BP63" s="102" t="str">
        <f>IFERROR(INDEX('I2020'!F$5:F$113,MATCH($C63,'I2020'!$A$5:$A$113,0)),"")</f>
        <v/>
      </c>
      <c r="BQ63" s="392" t="str">
        <f>IFERROR(INDEX('I2020'!G$5:G$113,MATCH($C63,'I2020'!$A$5:$A$113,0)),"")</f>
        <v/>
      </c>
      <c r="BR63" s="64"/>
      <c r="BS63" s="64"/>
      <c r="BT63" s="64"/>
      <c r="BU63" s="64"/>
      <c r="BV63" s="64"/>
      <c r="BW63" s="64"/>
      <c r="BX63" s="64"/>
      <c r="BY63" s="64"/>
      <c r="BZ63" s="64"/>
      <c r="CA63" s="64"/>
      <c r="CB63" s="64"/>
      <c r="CC63" s="64"/>
      <c r="CD63" s="64"/>
      <c r="CE63" s="64"/>
      <c r="CF63" s="64"/>
      <c r="CG63" s="64"/>
      <c r="CH63" s="64"/>
      <c r="CI63" s="124"/>
      <c r="CJ63" s="134"/>
    </row>
    <row r="64" spans="1:88" x14ac:dyDescent="0.3">
      <c r="A64" s="33"/>
      <c r="B64" s="68"/>
      <c r="C64" s="21" t="s">
        <v>46</v>
      </c>
      <c r="D64" s="102">
        <f>IFERROR(INDEX('I2015'!B$5:B$73,MATCH($C64,'I2015'!$A$5:$A$73,0)),"")</f>
        <v>0</v>
      </c>
      <c r="E64" s="102">
        <f>IFERROR(INDEX('I2015'!C$5:C$73,MATCH($C64,'I2015'!$A$5:$A$73,0)),"")</f>
        <v>0</v>
      </c>
      <c r="F64" s="102">
        <f>IFERROR(INDEX('I2015'!D$5:D$73,MATCH($C64,'I2015'!$A$5:$A$73,0)),"")</f>
        <v>0</v>
      </c>
      <c r="G64" s="102">
        <f>IFERROR(INDEX('I2015'!E$5:E$73,MATCH($C64,'I2015'!$A$5:$A$73,0)),"")</f>
        <v>0</v>
      </c>
      <c r="H64" s="102">
        <f>IFERROR(INDEX('I2015'!F$5:F$73,MATCH($C64,'I2015'!$A$5:$A$73,0)),"")</f>
        <v>0</v>
      </c>
      <c r="I64" s="102">
        <f>IFERROR(INDEX('I2015'!G$5:G$73,MATCH($C64,'I2015'!$A$5:$A$73,0)),"")</f>
        <v>301.01</v>
      </c>
      <c r="J64" s="102">
        <f>IFERROR(INDEX('I2015'!H$5:H$73,MATCH($C64,'I2015'!$A$5:$A$73,0)),"")</f>
        <v>158.81</v>
      </c>
      <c r="K64" s="102">
        <f>IFERROR(INDEX('I2015'!I$5:I$73,MATCH($C64,'I2015'!$A$5:$A$73,0)),"")</f>
        <v>124.8</v>
      </c>
      <c r="L64" s="102">
        <f>IFERROR(INDEX('I2015'!J$5:J$73,MATCH($C64,'I2015'!$A$5:$A$73,0)),"")</f>
        <v>170.84</v>
      </c>
      <c r="M64" s="102">
        <f>IFERROR(INDEX('I2015'!K$5:K$73,MATCH($C64,'I2015'!$A$5:$A$73,0)),"")</f>
        <v>122.55</v>
      </c>
      <c r="N64" s="102">
        <f>IFERROR(INDEX('I2015'!L$5:L$73,MATCH($C64,'I2015'!$A$5:$A$73,0)),"")</f>
        <v>90</v>
      </c>
      <c r="O64" s="102">
        <f>IFERROR(INDEX('I2015'!M$5:M$73,MATCH($C64,'I2015'!$A$5:$A$73,0)),"")</f>
        <v>445</v>
      </c>
      <c r="P64" s="102">
        <f>IFERROR(INDEX('I2016'!B$5:B$90,MATCH($C64,'I2016'!$A$5:$A$90,0)),"")</f>
        <v>1583.27</v>
      </c>
      <c r="Q64" s="102">
        <f>IFERROR(INDEX('I2016'!C$5:C$90,MATCH($C64,'I2016'!$A$5:$A$90,0)),"")</f>
        <v>3268.71</v>
      </c>
      <c r="R64" s="102">
        <f>IFERROR(INDEX('I2016'!D$5:D$90,MATCH($C64,'I2016'!$A$5:$A$90,0)),"")</f>
        <v>-204.07</v>
      </c>
      <c r="S64" s="102">
        <f>IFERROR(INDEX('I2016'!E$5:E$90,MATCH($C64,'I2016'!$A$5:$A$90,0)),"")</f>
        <v>1602.92</v>
      </c>
      <c r="T64" s="102">
        <f>IFERROR(INDEX('I2016'!F$5:F$90,MATCH($C64,'I2016'!$A$5:$A$90,0)),"")</f>
        <v>1384.01</v>
      </c>
      <c r="U64" s="102">
        <f>IFERROR(INDEX('I2016'!G$5:G$90,MATCH($C64,'I2016'!$A$5:$A$90,0)),"")</f>
        <v>1497.59</v>
      </c>
      <c r="V64" s="102">
        <f>IFERROR(INDEX('I2016'!H$5:H$90,MATCH($C64,'I2016'!$A$5:$A$90,0)),"")</f>
        <v>1954.05</v>
      </c>
      <c r="W64" s="102">
        <f>IFERROR(INDEX('I2016'!I$5:I$90,MATCH($C64,'I2016'!$A$5:$A$90,0)),"")</f>
        <v>1146.8</v>
      </c>
      <c r="X64" s="102">
        <f>IFERROR(INDEX('I2016'!J$5:J$90,MATCH($C64,'I2016'!$A$5:$A$90,0)),"")</f>
        <v>1579.1</v>
      </c>
      <c r="Y64" s="102">
        <f>IFERROR(INDEX('I2016'!K$5:K$90,MATCH($C64,'I2016'!$A$5:$A$90,0)),"")</f>
        <v>1611.37</v>
      </c>
      <c r="Z64" s="102">
        <f>IFERROR(INDEX('I2016'!L$5:L$90,MATCH($C64,'I2016'!$A$5:$A$90,0)),"")</f>
        <v>420.9</v>
      </c>
      <c r="AA64" s="102">
        <f>IFERROR(INDEX('I2016'!M$5:M$90,MATCH($C64,'I2016'!$A$5:$A$90,0)),"")</f>
        <v>551.05999999999995</v>
      </c>
      <c r="AB64" s="102">
        <f>IFERROR(INDEX('I2017'!B$5:B$96,MATCH($C64,'I2017'!$A$5:$A$96,0)),"")</f>
        <v>194.62</v>
      </c>
      <c r="AC64" s="102">
        <f>IFERROR(INDEX('I2017'!C$5:C$96,MATCH($C64,'I2017'!$A$5:$A$96,0)),"")</f>
        <v>670.77</v>
      </c>
      <c r="AD64" s="102">
        <f>IFERROR(INDEX('I2017'!D$5:D$96,MATCH($C64,'I2017'!$A$5:$A$96,0)),"")</f>
        <v>738.18</v>
      </c>
      <c r="AE64" s="102">
        <f>IFERROR(INDEX('I2017'!E$5:E$96,MATCH($C64,'I2017'!$A$5:$A$96,0)),"")</f>
        <v>11.81</v>
      </c>
      <c r="AF64" s="102">
        <f>IFERROR(INDEX('I2017'!F$5:F$96,MATCH($C64,'I2017'!$A$5:$A$96,0)),"")</f>
        <v>1071.24</v>
      </c>
      <c r="AG64" s="102">
        <f>IFERROR(INDEX('I2017'!G$5:G$96,MATCH($C64,'I2017'!$A$5:$A$96,0)),"")</f>
        <v>566.78</v>
      </c>
      <c r="AH64" s="102">
        <f>IFERROR(INDEX('I2017'!H$5:H$96,MATCH($C64,'I2017'!$A$5:$A$96,0)),"")</f>
        <v>77.709999999999994</v>
      </c>
      <c r="AI64" s="102">
        <f>IFERROR(INDEX('I2017'!I$5:I$96,MATCH($C64,'I2017'!$A$5:$A$96,0)),"")</f>
        <v>27.2</v>
      </c>
      <c r="AJ64" s="102">
        <f>IFERROR(INDEX('I2017'!J$5:J$96,MATCH($C64,'I2017'!$A$5:$A$96,0)),"")</f>
        <v>311.88</v>
      </c>
      <c r="AK64" s="102">
        <f>IFERROR(INDEX('I2017'!K$5:K$96,MATCH($C64,'I2017'!$A$5:$A$96,0)),"")</f>
        <v>0</v>
      </c>
      <c r="AL64" s="102">
        <f>IFERROR(INDEX('I2017'!L$5:L$96,MATCH($C64,'I2017'!$A$5:$A$96,0)),"")</f>
        <v>10.81</v>
      </c>
      <c r="AM64" s="102">
        <f>IFERROR(INDEX('I2017'!M$5:M$96,MATCH($C64,'I2017'!$A$5:$A$96,0)),"")</f>
        <v>488.56</v>
      </c>
      <c r="AN64" s="102">
        <f>IFERROR(INDEX('I2018'!B$5:B$107,MATCH($C64,'I2018'!$A$5:$A$107,0)),"")</f>
        <v>181.85</v>
      </c>
      <c r="AO64" s="102">
        <f>IFERROR(INDEX('I2018'!C$5:C$107,MATCH($C64,'I2018'!$A$5:$A$107,0)),"")</f>
        <v>309.89999999999998</v>
      </c>
      <c r="AP64" s="102">
        <f>IFERROR(INDEX('I2018'!D$5:D$107,MATCH($C64,'I2018'!$A$5:$A$107,0)),"")</f>
        <v>2232.33</v>
      </c>
      <c r="AQ64" s="102">
        <f>IFERROR(INDEX('I2018'!E$5:E$107,MATCH($C64,'I2018'!$A$5:$A$107,0)),"")</f>
        <v>542.79999999999995</v>
      </c>
      <c r="AR64" s="102">
        <f>IFERROR(INDEX('I2018'!F$5:F$107,MATCH($C64,'I2018'!$A$5:$A$107,0)),"")</f>
        <v>129.02000000000001</v>
      </c>
      <c r="AS64" s="102">
        <f>IFERROR(INDEX('I2018'!G$5:G$107,MATCH($C64,'I2018'!$A$5:$A$107,0)),"")</f>
        <v>1561.46</v>
      </c>
      <c r="AT64" s="102">
        <f>IFERROR(INDEX('I2018'!H$5:H$107,MATCH($C64,'I2018'!$A$5:$A$107,0)),"")</f>
        <v>969.81</v>
      </c>
      <c r="AU64" s="102">
        <f>IFERROR(INDEX('I2018'!I$5:I$107,MATCH($C64,'I2018'!$A$5:$A$107,0)),"")</f>
        <v>2195.38</v>
      </c>
      <c r="AV64" s="102">
        <f>IFERROR(INDEX('I2018'!J$5:J$107,MATCH($C64,'I2018'!$A$5:$A$107,0)),"")</f>
        <v>2199.15</v>
      </c>
      <c r="AW64" s="102">
        <f>IFERROR(INDEX('I2018'!K$5:K$107,MATCH($C64,'I2018'!$A$5:$A$107,0)),"")</f>
        <v>3713.87</v>
      </c>
      <c r="AX64" s="102">
        <f>IFERROR(INDEX('I2018'!L$5:L$107,MATCH($C64,'I2018'!$A$5:$A$107,0)),"")</f>
        <v>16.18</v>
      </c>
      <c r="AY64" s="102">
        <f>IFERROR(INDEX('I2018'!M$5:M$107,MATCH($C64,'I2018'!$A$5:$A$107,0)),"")</f>
        <v>16.18</v>
      </c>
      <c r="AZ64" s="102">
        <f>IFERROR(INDEX('I2019'!B$5:B$112,MATCH($C64,'I2019'!$A$5:$A$112,0)),"")</f>
        <v>339.85</v>
      </c>
      <c r="BA64" s="102">
        <f>IFERROR(INDEX('I2019'!C$5:C$112,MATCH($C64,'I2019'!$A$5:$A$112,0)),"")</f>
        <v>30.06</v>
      </c>
      <c r="BB64" s="102">
        <f>IFERROR(INDEX('I2019'!D$5:D$112,MATCH($C64,'I2019'!$A$5:$A$112,0)),"")</f>
        <v>111.39</v>
      </c>
      <c r="BC64" s="102">
        <f>IFERROR(INDEX('I2019'!E$5:E$112,MATCH($C64,'I2019'!$A$5:$A$112,0)),"")</f>
        <v>17.260000000000002</v>
      </c>
      <c r="BD64" s="102">
        <f>IFERROR(INDEX('I2019'!F$5:F$112,MATCH($C64,'I2019'!$A$5:$A$112,0)),"")</f>
        <v>948.43</v>
      </c>
      <c r="BE64" s="102">
        <f>IFERROR(INDEX('I2019'!G$5:G$112,MATCH($C64,'I2019'!$A$5:$A$112,0)),"")</f>
        <v>493.66</v>
      </c>
      <c r="BF64" s="102">
        <f>IFERROR(INDEX('I2019'!H$5:H$112,MATCH($C64,'I2019'!$A$5:$A$112,0)),"")</f>
        <v>960.35</v>
      </c>
      <c r="BG64" s="102">
        <f>IFERROR(INDEX('I2019'!I$5:I$112,MATCH($C64,'I2019'!$A$5:$A$112,0)),"")</f>
        <v>453.84</v>
      </c>
      <c r="BH64" s="102">
        <f>IFERROR(INDEX('I2019'!J$5:J$112,MATCH($C64,'I2019'!$A$5:$A$112,0)),"")</f>
        <v>0</v>
      </c>
      <c r="BI64" s="102">
        <f>IFERROR(INDEX('I2019'!K$5:K$112,MATCH($C64,'I2019'!$A$5:$A$112,0)),"")</f>
        <v>0</v>
      </c>
      <c r="BJ64" s="102">
        <f>IFERROR(INDEX('I2019'!L$5:L$112,MATCH($C64,'I2019'!$A$5:$A$112,0)),"")</f>
        <v>0</v>
      </c>
      <c r="BK64" s="102">
        <f>IFERROR(INDEX('I2019'!M$5:M$112,MATCH($C64,'I2019'!$A$5:$A$112,0)),"")</f>
        <v>0</v>
      </c>
      <c r="BL64" s="102">
        <f>IFERROR(INDEX('I2020'!B$5:B$113,MATCH($C64,'I2020'!$A$5:$A$113,0)),"")</f>
        <v>0</v>
      </c>
      <c r="BM64" s="102">
        <f>IFERROR(INDEX('I2020'!C$5:C$113,MATCH($C64,'I2020'!$A$5:$A$113,0)),"")</f>
        <v>0</v>
      </c>
      <c r="BN64" s="102">
        <f>IFERROR(INDEX('I2020'!D$5:D$113,MATCH($C64,'I2020'!$A$5:$A$113,0)),"")</f>
        <v>0</v>
      </c>
      <c r="BO64" s="102">
        <f>IFERROR(INDEX('I2020'!E$5:E$113,MATCH($C64,'I2020'!$A$5:$A$113,0)),"")</f>
        <v>0</v>
      </c>
      <c r="BP64" s="102">
        <f>IFERROR(INDEX('I2020'!F$5:F$113,MATCH($C64,'I2020'!$A$5:$A$113,0)),"")</f>
        <v>0</v>
      </c>
      <c r="BQ64" s="392">
        <f>IFERROR(INDEX('I2020'!G$5:G$113,MATCH($C64,'I2020'!$A$5:$A$113,0)),"")</f>
        <v>0</v>
      </c>
      <c r="BR64" s="64"/>
      <c r="BS64" s="64"/>
      <c r="BT64" s="64"/>
      <c r="BU64" s="64"/>
      <c r="BV64" s="64"/>
      <c r="BW64" s="64"/>
      <c r="BX64" s="64"/>
      <c r="BY64" s="64"/>
      <c r="BZ64" s="64"/>
      <c r="CA64" s="64"/>
      <c r="CB64" s="64"/>
      <c r="CC64" s="64"/>
      <c r="CD64" s="64"/>
      <c r="CE64" s="64"/>
      <c r="CF64" s="64"/>
      <c r="CG64" s="64"/>
      <c r="CH64" s="64"/>
      <c r="CI64" s="124"/>
      <c r="CJ64" s="134"/>
    </row>
    <row r="65" spans="1:88" x14ac:dyDescent="0.3">
      <c r="A65" s="33"/>
      <c r="B65" s="68"/>
      <c r="C65" s="21" t="s">
        <v>47</v>
      </c>
      <c r="D65" s="102" t="str">
        <f>IFERROR(INDEX('I2015'!B$5:B$73,MATCH($C65,'I2015'!$A$5:$A$73,0)),"")</f>
        <v/>
      </c>
      <c r="E65" s="102" t="str">
        <f>IFERROR(INDEX('I2015'!C$5:C$73,MATCH($C65,'I2015'!$A$5:$A$73,0)),"")</f>
        <v/>
      </c>
      <c r="F65" s="102" t="str">
        <f>IFERROR(INDEX('I2015'!D$5:D$73,MATCH($C65,'I2015'!$A$5:$A$73,0)),"")</f>
        <v/>
      </c>
      <c r="G65" s="102" t="str">
        <f>IFERROR(INDEX('I2015'!E$5:E$73,MATCH($C65,'I2015'!$A$5:$A$73,0)),"")</f>
        <v/>
      </c>
      <c r="H65" s="102" t="str">
        <f>IFERROR(INDEX('I2015'!F$5:F$73,MATCH($C65,'I2015'!$A$5:$A$73,0)),"")</f>
        <v/>
      </c>
      <c r="I65" s="102" t="str">
        <f>IFERROR(INDEX('I2015'!G$5:G$73,MATCH($C65,'I2015'!$A$5:$A$73,0)),"")</f>
        <v/>
      </c>
      <c r="J65" s="102" t="str">
        <f>IFERROR(INDEX('I2015'!H$5:H$73,MATCH($C65,'I2015'!$A$5:$A$73,0)),"")</f>
        <v/>
      </c>
      <c r="K65" s="102" t="str">
        <f>IFERROR(INDEX('I2015'!I$5:I$73,MATCH($C65,'I2015'!$A$5:$A$73,0)),"")</f>
        <v/>
      </c>
      <c r="L65" s="102" t="str">
        <f>IFERROR(INDEX('I2015'!J$5:J$73,MATCH($C65,'I2015'!$A$5:$A$73,0)),"")</f>
        <v/>
      </c>
      <c r="M65" s="102" t="str">
        <f>IFERROR(INDEX('I2015'!K$5:K$73,MATCH($C65,'I2015'!$A$5:$A$73,0)),"")</f>
        <v/>
      </c>
      <c r="N65" s="102" t="str">
        <f>IFERROR(INDEX('I2015'!L$5:L$73,MATCH($C65,'I2015'!$A$5:$A$73,0)),"")</f>
        <v/>
      </c>
      <c r="O65" s="102" t="str">
        <f>IFERROR(INDEX('I2015'!M$5:M$73,MATCH($C65,'I2015'!$A$5:$A$73,0)),"")</f>
        <v/>
      </c>
      <c r="P65" s="102">
        <f>IFERROR(INDEX('I2016'!B$5:B$90,MATCH($C65,'I2016'!$A$5:$A$90,0)),"")</f>
        <v>0</v>
      </c>
      <c r="Q65" s="102">
        <f>IFERROR(INDEX('I2016'!C$5:C$90,MATCH($C65,'I2016'!$A$5:$A$90,0)),"")</f>
        <v>242</v>
      </c>
      <c r="R65" s="102">
        <f>IFERROR(INDEX('I2016'!D$5:D$90,MATCH($C65,'I2016'!$A$5:$A$90,0)),"")</f>
        <v>42</v>
      </c>
      <c r="S65" s="102">
        <f>IFERROR(INDEX('I2016'!E$5:E$90,MATCH($C65,'I2016'!$A$5:$A$90,0)),"")</f>
        <v>0</v>
      </c>
      <c r="T65" s="102">
        <f>IFERROR(INDEX('I2016'!F$5:F$90,MATCH($C65,'I2016'!$A$5:$A$90,0)),"")</f>
        <v>0</v>
      </c>
      <c r="U65" s="102">
        <f>IFERROR(INDEX('I2016'!G$5:G$90,MATCH($C65,'I2016'!$A$5:$A$90,0)),"")</f>
        <v>0</v>
      </c>
      <c r="V65" s="102">
        <f>IFERROR(INDEX('I2016'!H$5:H$90,MATCH($C65,'I2016'!$A$5:$A$90,0)),"")</f>
        <v>0</v>
      </c>
      <c r="W65" s="102">
        <f>IFERROR(INDEX('I2016'!I$5:I$90,MATCH($C65,'I2016'!$A$5:$A$90,0)),"")</f>
        <v>0</v>
      </c>
      <c r="X65" s="102">
        <f>IFERROR(INDEX('I2016'!J$5:J$90,MATCH($C65,'I2016'!$A$5:$A$90,0)),"")</f>
        <v>0</v>
      </c>
      <c r="Y65" s="102">
        <f>IFERROR(INDEX('I2016'!K$5:K$90,MATCH($C65,'I2016'!$A$5:$A$90,0)),"")</f>
        <v>0</v>
      </c>
      <c r="Z65" s="102">
        <f>IFERROR(INDEX('I2016'!L$5:L$90,MATCH($C65,'I2016'!$A$5:$A$90,0)),"")</f>
        <v>0</v>
      </c>
      <c r="AA65" s="102">
        <f>IFERROR(INDEX('I2016'!M$5:M$90,MATCH($C65,'I2016'!$A$5:$A$90,0)),"")</f>
        <v>0</v>
      </c>
      <c r="AB65" s="102">
        <f>IFERROR(INDEX('I2017'!B$5:B$96,MATCH($C65,'I2017'!$A$5:$A$96,0)),"")</f>
        <v>40</v>
      </c>
      <c r="AC65" s="102">
        <f>IFERROR(INDEX('I2017'!C$5:C$96,MATCH($C65,'I2017'!$A$5:$A$96,0)),"")</f>
        <v>0</v>
      </c>
      <c r="AD65" s="102">
        <f>IFERROR(INDEX('I2017'!D$5:D$96,MATCH($C65,'I2017'!$A$5:$A$96,0)),"")</f>
        <v>0</v>
      </c>
      <c r="AE65" s="102">
        <f>IFERROR(INDEX('I2017'!E$5:E$96,MATCH($C65,'I2017'!$A$5:$A$96,0)),"")</f>
        <v>0</v>
      </c>
      <c r="AF65" s="102">
        <f>IFERROR(INDEX('I2017'!F$5:F$96,MATCH($C65,'I2017'!$A$5:$A$96,0)),"")</f>
        <v>126.54</v>
      </c>
      <c r="AG65" s="102">
        <f>IFERROR(INDEX('I2017'!G$5:G$96,MATCH($C65,'I2017'!$A$5:$A$96,0)),"")</f>
        <v>74.010000000000005</v>
      </c>
      <c r="AH65" s="102">
        <f>IFERROR(INDEX('I2017'!H$5:H$96,MATCH($C65,'I2017'!$A$5:$A$96,0)),"")</f>
        <v>6.72</v>
      </c>
      <c r="AI65" s="102">
        <f>IFERROR(INDEX('I2017'!I$5:I$96,MATCH($C65,'I2017'!$A$5:$A$96,0)),"")</f>
        <v>162.30000000000001</v>
      </c>
      <c r="AJ65" s="102">
        <f>IFERROR(INDEX('I2017'!J$5:J$96,MATCH($C65,'I2017'!$A$5:$A$96,0)),"")</f>
        <v>167.45</v>
      </c>
      <c r="AK65" s="102">
        <f>IFERROR(INDEX('I2017'!K$5:K$96,MATCH($C65,'I2017'!$A$5:$A$96,0)),"")</f>
        <v>191.21</v>
      </c>
      <c r="AL65" s="102">
        <f>IFERROR(INDEX('I2017'!L$5:L$96,MATCH($C65,'I2017'!$A$5:$A$96,0)),"")</f>
        <v>0</v>
      </c>
      <c r="AM65" s="102">
        <f>IFERROR(INDEX('I2017'!M$5:M$96,MATCH($C65,'I2017'!$A$5:$A$96,0)),"")</f>
        <v>0</v>
      </c>
      <c r="AN65" s="102">
        <f>IFERROR(INDEX('I2018'!B$5:B$107,MATCH($C65,'I2018'!$A$5:$A$107,0)),"")</f>
        <v>0</v>
      </c>
      <c r="AO65" s="102">
        <f>IFERROR(INDEX('I2018'!C$5:C$107,MATCH($C65,'I2018'!$A$5:$A$107,0)),"")</f>
        <v>0</v>
      </c>
      <c r="AP65" s="102">
        <f>IFERROR(INDEX('I2018'!D$5:D$107,MATCH($C65,'I2018'!$A$5:$A$107,0)),"")</f>
        <v>1000</v>
      </c>
      <c r="AQ65" s="102">
        <f>IFERROR(INDEX('I2018'!E$5:E$107,MATCH($C65,'I2018'!$A$5:$A$107,0)),"")</f>
        <v>543</v>
      </c>
      <c r="AR65" s="102">
        <f>IFERROR(INDEX('I2018'!F$5:F$107,MATCH($C65,'I2018'!$A$5:$A$107,0)),"")</f>
        <v>570</v>
      </c>
      <c r="AS65" s="102">
        <f>IFERROR(INDEX('I2018'!G$5:G$107,MATCH($C65,'I2018'!$A$5:$A$107,0)),"")</f>
        <v>827.78</v>
      </c>
      <c r="AT65" s="102">
        <f>IFERROR(INDEX('I2018'!H$5:H$107,MATCH($C65,'I2018'!$A$5:$A$107,0)),"")</f>
        <v>499.54</v>
      </c>
      <c r="AU65" s="102">
        <f>IFERROR(INDEX('I2018'!I$5:I$107,MATCH($C65,'I2018'!$A$5:$A$107,0)),"")</f>
        <v>913.9</v>
      </c>
      <c r="AV65" s="102">
        <f>IFERROR(INDEX('I2018'!J$5:J$107,MATCH($C65,'I2018'!$A$5:$A$107,0)),"")</f>
        <v>44.17</v>
      </c>
      <c r="AW65" s="102">
        <f>IFERROR(INDEX('I2018'!K$5:K$107,MATCH($C65,'I2018'!$A$5:$A$107,0)),"")</f>
        <v>394.85</v>
      </c>
      <c r="AX65" s="102">
        <f>IFERROR(INDEX('I2018'!L$5:L$107,MATCH($C65,'I2018'!$A$5:$A$107,0)),"")</f>
        <v>634.84</v>
      </c>
      <c r="AY65" s="102">
        <f>IFERROR(INDEX('I2018'!M$5:M$107,MATCH($C65,'I2018'!$A$5:$A$107,0)),"")</f>
        <v>1209.92</v>
      </c>
      <c r="AZ65" s="102">
        <f>IFERROR(INDEX('I2019'!B$5:B$112,MATCH($C65,'I2019'!$A$5:$A$112,0)),"")</f>
        <v>1537.02</v>
      </c>
      <c r="BA65" s="102">
        <f>IFERROR(INDEX('I2019'!C$5:C$112,MATCH($C65,'I2019'!$A$5:$A$112,0)),"")</f>
        <v>170.99</v>
      </c>
      <c r="BB65" s="102">
        <f>IFERROR(INDEX('I2019'!D$5:D$112,MATCH($C65,'I2019'!$A$5:$A$112,0)),"")</f>
        <v>226.11</v>
      </c>
      <c r="BC65" s="102">
        <f>IFERROR(INDEX('I2019'!E$5:E$112,MATCH($C65,'I2019'!$A$5:$A$112,0)),"")</f>
        <v>162.18</v>
      </c>
      <c r="BD65" s="102">
        <f>IFERROR(INDEX('I2019'!F$5:F$112,MATCH($C65,'I2019'!$A$5:$A$112,0)),"")</f>
        <v>0</v>
      </c>
      <c r="BE65" s="102">
        <f>IFERROR(INDEX('I2019'!G$5:G$112,MATCH($C65,'I2019'!$A$5:$A$112,0)),"")</f>
        <v>64.010000000000005</v>
      </c>
      <c r="BF65" s="102">
        <f>IFERROR(INDEX('I2019'!H$5:H$112,MATCH($C65,'I2019'!$A$5:$A$112,0)),"")</f>
        <v>37.729999999999997</v>
      </c>
      <c r="BG65" s="102">
        <f>IFERROR(INDEX('I2019'!I$5:I$112,MATCH($C65,'I2019'!$A$5:$A$112,0)),"")</f>
        <v>0</v>
      </c>
      <c r="BH65" s="102">
        <f>IFERROR(INDEX('I2019'!J$5:J$112,MATCH($C65,'I2019'!$A$5:$A$112,0)),"")</f>
        <v>464.37</v>
      </c>
      <c r="BI65" s="102">
        <f>IFERROR(INDEX('I2019'!K$5:K$112,MATCH($C65,'I2019'!$A$5:$A$112,0)),"")</f>
        <v>1183.1600000000001</v>
      </c>
      <c r="BJ65" s="102">
        <f>IFERROR(INDEX('I2019'!L$5:L$112,MATCH($C65,'I2019'!$A$5:$A$112,0)),"")</f>
        <v>376.56</v>
      </c>
      <c r="BK65" s="102">
        <f>IFERROR(INDEX('I2019'!M$5:M$112,MATCH($C65,'I2019'!$A$5:$A$112,0)),"")</f>
        <v>507.22</v>
      </c>
      <c r="BL65" s="102">
        <f>IFERROR(INDEX('I2020'!B$5:B$113,MATCH($C65,'I2020'!$A$5:$A$113,0)),"")</f>
        <v>469.98</v>
      </c>
      <c r="BM65" s="102">
        <f>IFERROR(INDEX('I2020'!C$5:C$113,MATCH($C65,'I2020'!$A$5:$A$113,0)),"")</f>
        <v>442.2</v>
      </c>
      <c r="BN65" s="102">
        <f>IFERROR(INDEX('I2020'!D$5:D$113,MATCH($C65,'I2020'!$A$5:$A$113,0)),"")</f>
        <v>343.3</v>
      </c>
      <c r="BO65" s="102">
        <f>IFERROR(INDEX('I2020'!E$5:E$113,MATCH($C65,'I2020'!$A$5:$A$113,0)),"")</f>
        <v>213.29</v>
      </c>
      <c r="BP65" s="102">
        <f>IFERROR(INDEX('I2020'!F$5:F$113,MATCH($C65,'I2020'!$A$5:$A$113,0)),"")</f>
        <v>351.68</v>
      </c>
      <c r="BQ65" s="392">
        <f>IFERROR(INDEX('I2020'!G$5:G$113,MATCH($C65,'I2020'!$A$5:$A$113,0)),"")</f>
        <v>458.11</v>
      </c>
      <c r="BR65" s="64"/>
      <c r="BS65" s="64"/>
      <c r="BT65" s="64"/>
      <c r="BU65" s="64"/>
      <c r="BV65" s="64"/>
      <c r="BW65" s="64"/>
      <c r="BX65" s="64"/>
      <c r="BY65" s="64"/>
      <c r="BZ65" s="64"/>
      <c r="CA65" s="64"/>
      <c r="CB65" s="64"/>
      <c r="CC65" s="64"/>
      <c r="CD65" s="64"/>
      <c r="CE65" s="64"/>
      <c r="CF65" s="64"/>
      <c r="CG65" s="64"/>
      <c r="CH65" s="64"/>
      <c r="CI65" s="124"/>
      <c r="CJ65" s="134"/>
    </row>
    <row r="66" spans="1:88" x14ac:dyDescent="0.3">
      <c r="A66" s="33"/>
      <c r="B66" s="63"/>
      <c r="C66" s="21" t="s">
        <v>48</v>
      </c>
      <c r="D66" s="22" t="str">
        <f>IFERROR(INDEX('I2015'!B$5:B$73,MATCH($C66,'I2015'!$A$5:$A$73,0)),"")</f>
        <v/>
      </c>
      <c r="E66" s="22" t="str">
        <f>IFERROR(INDEX('I2015'!C$5:C$73,MATCH($C66,'I2015'!$A$5:$A$73,0)),"")</f>
        <v/>
      </c>
      <c r="F66" s="22" t="str">
        <f>IFERROR(INDEX('I2015'!D$5:D$73,MATCH($C66,'I2015'!$A$5:$A$73,0)),"")</f>
        <v/>
      </c>
      <c r="G66" s="22" t="str">
        <f>IFERROR(INDEX('I2015'!E$5:E$73,MATCH($C66,'I2015'!$A$5:$A$73,0)),"")</f>
        <v/>
      </c>
      <c r="H66" s="22" t="str">
        <f>IFERROR(INDEX('I2015'!F$5:F$73,MATCH($C66,'I2015'!$A$5:$A$73,0)),"")</f>
        <v/>
      </c>
      <c r="I66" s="22" t="str">
        <f>IFERROR(INDEX('I2015'!G$5:G$73,MATCH($C66,'I2015'!$A$5:$A$73,0)),"")</f>
        <v/>
      </c>
      <c r="J66" s="22" t="str">
        <f>IFERROR(INDEX('I2015'!H$5:H$73,MATCH($C66,'I2015'!$A$5:$A$73,0)),"")</f>
        <v/>
      </c>
      <c r="K66" s="22" t="str">
        <f>IFERROR(INDEX('I2015'!I$5:I$73,MATCH($C66,'I2015'!$A$5:$A$73,0)),"")</f>
        <v/>
      </c>
      <c r="L66" s="22" t="str">
        <f>IFERROR(INDEX('I2015'!J$5:J$73,MATCH($C66,'I2015'!$A$5:$A$73,0)),"")</f>
        <v/>
      </c>
      <c r="M66" s="22" t="str">
        <f>IFERROR(INDEX('I2015'!K$5:K$73,MATCH($C66,'I2015'!$A$5:$A$73,0)),"")</f>
        <v/>
      </c>
      <c r="N66" s="22" t="str">
        <f>IFERROR(INDEX('I2015'!L$5:L$73,MATCH($C66,'I2015'!$A$5:$A$73,0)),"")</f>
        <v/>
      </c>
      <c r="O66" s="22" t="str">
        <f>IFERROR(INDEX('I2015'!M$5:M$73,MATCH($C66,'I2015'!$A$5:$A$73,0)),"")</f>
        <v/>
      </c>
      <c r="P66" s="22" t="str">
        <f>IFERROR(INDEX('I2016'!B$5:B$90,MATCH($C66,'I2016'!$A$5:$A$90,0)),"")</f>
        <v/>
      </c>
      <c r="Q66" s="22" t="str">
        <f>IFERROR(INDEX('I2016'!C$5:C$90,MATCH($C66,'I2016'!$A$5:$A$90,0)),"")</f>
        <v/>
      </c>
      <c r="R66" s="22" t="str">
        <f>IFERROR(INDEX('I2016'!D$5:D$90,MATCH($C66,'I2016'!$A$5:$A$90,0)),"")</f>
        <v/>
      </c>
      <c r="S66" s="22" t="str">
        <f>IFERROR(INDEX('I2016'!E$5:E$90,MATCH($C66,'I2016'!$A$5:$A$90,0)),"")</f>
        <v/>
      </c>
      <c r="T66" s="22" t="str">
        <f>IFERROR(INDEX('I2016'!F$5:F$90,MATCH($C66,'I2016'!$A$5:$A$90,0)),"")</f>
        <v/>
      </c>
      <c r="U66" s="22" t="str">
        <f>IFERROR(INDEX('I2016'!G$5:G$90,MATCH($C66,'I2016'!$A$5:$A$90,0)),"")</f>
        <v/>
      </c>
      <c r="V66" s="22" t="str">
        <f>IFERROR(INDEX('I2016'!H$5:H$90,MATCH($C66,'I2016'!$A$5:$A$90,0)),"")</f>
        <v/>
      </c>
      <c r="W66" s="22" t="str">
        <f>IFERROR(INDEX('I2016'!I$5:I$90,MATCH($C66,'I2016'!$A$5:$A$90,0)),"")</f>
        <v/>
      </c>
      <c r="X66" s="22" t="str">
        <f>IFERROR(INDEX('I2016'!J$5:J$90,MATCH($C66,'I2016'!$A$5:$A$90,0)),"")</f>
        <v/>
      </c>
      <c r="Y66" s="22" t="str">
        <f>IFERROR(INDEX('I2016'!K$5:K$90,MATCH($C66,'I2016'!$A$5:$A$90,0)),"")</f>
        <v/>
      </c>
      <c r="Z66" s="22" t="str">
        <f>IFERROR(INDEX('I2016'!L$5:L$90,MATCH($C66,'I2016'!$A$5:$A$90,0)),"")</f>
        <v/>
      </c>
      <c r="AA66" s="22" t="str">
        <f>IFERROR(INDEX('I2016'!M$5:M$90,MATCH($C66,'I2016'!$A$5:$A$90,0)),"")</f>
        <v/>
      </c>
      <c r="AB66" s="22" t="str">
        <f>IFERROR(INDEX('I2017'!B$5:B$96,MATCH($C66,'I2017'!$A$5:$A$96,0)),"")</f>
        <v/>
      </c>
      <c r="AC66" s="22" t="str">
        <f>IFERROR(INDEX('I2017'!C$5:C$96,MATCH($C66,'I2017'!$A$5:$A$96,0)),"")</f>
        <v/>
      </c>
      <c r="AD66" s="22" t="str">
        <f>IFERROR(INDEX('I2017'!D$5:D$96,MATCH($C66,'I2017'!$A$5:$A$96,0)),"")</f>
        <v/>
      </c>
      <c r="AE66" s="22" t="str">
        <f>IFERROR(INDEX('I2017'!E$5:E$96,MATCH($C66,'I2017'!$A$5:$A$96,0)),"")</f>
        <v/>
      </c>
      <c r="AF66" s="22" t="str">
        <f>IFERROR(INDEX('I2017'!F$5:F$96,MATCH($C66,'I2017'!$A$5:$A$96,0)),"")</f>
        <v/>
      </c>
      <c r="AG66" s="22" t="str">
        <f>IFERROR(INDEX('I2017'!G$5:G$96,MATCH($C66,'I2017'!$A$5:$A$96,0)),"")</f>
        <v/>
      </c>
      <c r="AH66" s="22" t="str">
        <f>IFERROR(INDEX('I2017'!H$5:H$96,MATCH($C66,'I2017'!$A$5:$A$96,0)),"")</f>
        <v/>
      </c>
      <c r="AI66" s="22" t="str">
        <f>IFERROR(INDEX('I2017'!I$5:I$96,MATCH($C66,'I2017'!$A$5:$A$96,0)),"")</f>
        <v/>
      </c>
      <c r="AJ66" s="22" t="str">
        <f>IFERROR(INDEX('I2017'!J$5:J$96,MATCH($C66,'I2017'!$A$5:$A$96,0)),"")</f>
        <v/>
      </c>
      <c r="AK66" s="22" t="str">
        <f>IFERROR(INDEX('I2017'!K$5:K$96,MATCH($C66,'I2017'!$A$5:$A$96,0)),"")</f>
        <v/>
      </c>
      <c r="AL66" s="22" t="str">
        <f>IFERROR(INDEX('I2017'!L$5:L$96,MATCH($C66,'I2017'!$A$5:$A$96,0)),"")</f>
        <v/>
      </c>
      <c r="AM66" s="22" t="str">
        <f>IFERROR(INDEX('I2017'!M$5:M$96,MATCH($C66,'I2017'!$A$5:$A$96,0)),"")</f>
        <v/>
      </c>
      <c r="AN66" s="22">
        <f>IFERROR(INDEX('I2018'!B$5:B$107,MATCH($C66,'I2018'!$A$5:$A$107,0)),"")</f>
        <v>0</v>
      </c>
      <c r="AO66" s="22">
        <f>IFERROR(INDEX('I2018'!C$5:C$107,MATCH($C66,'I2018'!$A$5:$A$107,0)),"")</f>
        <v>0</v>
      </c>
      <c r="AP66" s="22">
        <f>IFERROR(INDEX('I2018'!D$5:D$107,MATCH($C66,'I2018'!$A$5:$A$107,0)),"")</f>
        <v>0</v>
      </c>
      <c r="AQ66" s="22">
        <f>IFERROR(INDEX('I2018'!E$5:E$107,MATCH($C66,'I2018'!$A$5:$A$107,0)),"")</f>
        <v>0</v>
      </c>
      <c r="AR66" s="22">
        <f>IFERROR(INDEX('I2018'!F$5:F$107,MATCH($C66,'I2018'!$A$5:$A$107,0)),"")</f>
        <v>0</v>
      </c>
      <c r="AS66" s="22">
        <f>IFERROR(INDEX('I2018'!G$5:G$107,MATCH($C66,'I2018'!$A$5:$A$107,0)),"")</f>
        <v>0</v>
      </c>
      <c r="AT66" s="22">
        <f>IFERROR(INDEX('I2018'!H$5:H$107,MATCH($C66,'I2018'!$A$5:$A$107,0)),"")</f>
        <v>0</v>
      </c>
      <c r="AU66" s="22">
        <f>IFERROR(INDEX('I2018'!I$5:I$107,MATCH($C66,'I2018'!$A$5:$A$107,0)),"")</f>
        <v>0</v>
      </c>
      <c r="AV66" s="22">
        <f>IFERROR(INDEX('I2018'!J$5:J$107,MATCH($C66,'I2018'!$A$5:$A$107,0)),"")</f>
        <v>0</v>
      </c>
      <c r="AW66" s="22">
        <f>IFERROR(INDEX('I2018'!K$5:K$107,MATCH($C66,'I2018'!$A$5:$A$107,0)),"")</f>
        <v>0</v>
      </c>
      <c r="AX66" s="22">
        <f>IFERROR(INDEX('I2018'!L$5:L$107,MATCH($C66,'I2018'!$A$5:$A$107,0)),"")</f>
        <v>897.77</v>
      </c>
      <c r="AY66" s="22">
        <f>IFERROR(INDEX('I2018'!M$5:M$107,MATCH($C66,'I2018'!$A$5:$A$107,0)),"")</f>
        <v>526.95000000000005</v>
      </c>
      <c r="AZ66" s="22">
        <f>IFERROR(INDEX('I2019'!B$5:B$112,MATCH($C66,'I2019'!$A$5:$A$112,0)),"")</f>
        <v>492.5</v>
      </c>
      <c r="BA66" s="22">
        <f>IFERROR(INDEX('I2019'!C$5:C$112,MATCH($C66,'I2019'!$A$5:$A$112,0)),"")</f>
        <v>261.49</v>
      </c>
      <c r="BB66" s="22">
        <f>IFERROR(INDEX('I2019'!D$5:D$112,MATCH($C66,'I2019'!$A$5:$A$112,0)),"")</f>
        <v>636.29</v>
      </c>
      <c r="BC66" s="22">
        <f>IFERROR(INDEX('I2019'!E$5:E$112,MATCH($C66,'I2019'!$A$5:$A$112,0)),"")</f>
        <v>861.44</v>
      </c>
      <c r="BD66" s="22">
        <f>IFERROR(INDEX('I2019'!F$5:F$112,MATCH($C66,'I2019'!$A$5:$A$112,0)),"")</f>
        <v>1464.69</v>
      </c>
      <c r="BE66" s="22">
        <f>IFERROR(INDEX('I2019'!G$5:G$112,MATCH($C66,'I2019'!$A$5:$A$112,0)),"")</f>
        <v>868.19</v>
      </c>
      <c r="BF66" s="22">
        <f>IFERROR(INDEX('I2019'!H$5:H$112,MATCH($C66,'I2019'!$A$5:$A$112,0)),"")</f>
        <v>1060.24</v>
      </c>
      <c r="BG66" s="22">
        <f>IFERROR(INDEX('I2019'!I$5:I$112,MATCH($C66,'I2019'!$A$5:$A$112,0)),"")</f>
        <v>299.64</v>
      </c>
      <c r="BH66" s="22">
        <f>IFERROR(INDEX('I2019'!J$5:J$112,MATCH($C66,'I2019'!$A$5:$A$112,0)),"")</f>
        <v>220.75</v>
      </c>
      <c r="BI66" s="22">
        <f>IFERROR(INDEX('I2019'!K$5:K$112,MATCH($C66,'I2019'!$A$5:$A$112,0)),"")</f>
        <v>173.28</v>
      </c>
      <c r="BJ66" s="22">
        <f>IFERROR(INDEX('I2019'!L$5:L$112,MATCH($C66,'I2019'!$A$5:$A$112,0)),"")</f>
        <v>193.62</v>
      </c>
      <c r="BK66" s="22">
        <f>IFERROR(INDEX('I2019'!M$5:M$112,MATCH($C66,'I2019'!$A$5:$A$112,0)),"")</f>
        <v>63.18</v>
      </c>
      <c r="BL66" s="22">
        <f>IFERROR(INDEX('I2020'!B$5:B$113,MATCH($C66,'I2020'!$A$5:$A$113,0)),"")</f>
        <v>348.08</v>
      </c>
      <c r="BM66" s="22">
        <f>IFERROR(INDEX('I2020'!C$5:C$113,MATCH($C66,'I2020'!$A$5:$A$113,0)),"")</f>
        <v>541.80999999999995</v>
      </c>
      <c r="BN66" s="22">
        <f>IFERROR(INDEX('I2020'!D$5:D$113,MATCH($C66,'I2020'!$A$5:$A$113,0)),"")</f>
        <v>99.74</v>
      </c>
      <c r="BO66" s="22">
        <f>IFERROR(INDEX('I2020'!E$5:E$113,MATCH($C66,'I2020'!$A$5:$A$113,0)),"")</f>
        <v>223.98</v>
      </c>
      <c r="BP66" s="22">
        <f>IFERROR(INDEX('I2020'!F$5:F$113,MATCH($C66,'I2020'!$A$5:$A$113,0)),"")</f>
        <v>501.2</v>
      </c>
      <c r="BQ66" s="393">
        <f>IFERROR(INDEX('I2020'!G$5:G$113,MATCH($C66,'I2020'!$A$5:$A$113,0)),"")</f>
        <v>331.26</v>
      </c>
      <c r="BR66" s="65"/>
      <c r="BS66" s="65"/>
      <c r="BT66" s="65"/>
      <c r="BU66" s="65"/>
      <c r="BV66" s="65"/>
      <c r="BW66" s="65"/>
      <c r="BX66" s="65"/>
      <c r="BY66" s="65"/>
      <c r="BZ66" s="65"/>
      <c r="CA66" s="65"/>
      <c r="CB66" s="65"/>
      <c r="CC66" s="65"/>
      <c r="CD66" s="65"/>
      <c r="CE66" s="65"/>
      <c r="CF66" s="65"/>
      <c r="CG66" s="65"/>
      <c r="CH66" s="65"/>
      <c r="CI66" s="125"/>
      <c r="CJ66" s="134"/>
    </row>
    <row r="67" spans="1:88" x14ac:dyDescent="0.3">
      <c r="A67" s="33" t="s">
        <v>462</v>
      </c>
      <c r="B67" s="63">
        <v>2.5000000000000001E-3</v>
      </c>
      <c r="C67" s="26" t="s">
        <v>49</v>
      </c>
      <c r="D67" s="78" t="str">
        <f>IFERROR(INDEX('I2015'!B$5:B$73,MATCH($C67,'I2015'!$A$5:$A$73,0)),"")</f>
        <v/>
      </c>
      <c r="E67" s="78" t="str">
        <f>IFERROR(INDEX('I2015'!C$5:C$73,MATCH($C67,'I2015'!$A$5:$A$73,0)),"")</f>
        <v/>
      </c>
      <c r="F67" s="78" t="str">
        <f>IFERROR(INDEX('I2015'!D$5:D$73,MATCH($C67,'I2015'!$A$5:$A$73,0)),"")</f>
        <v/>
      </c>
      <c r="G67" s="78" t="str">
        <f>IFERROR(INDEX('I2015'!E$5:E$73,MATCH($C67,'I2015'!$A$5:$A$73,0)),"")</f>
        <v/>
      </c>
      <c r="H67" s="78" t="str">
        <f>IFERROR(INDEX('I2015'!F$5:F$73,MATCH($C67,'I2015'!$A$5:$A$73,0)),"")</f>
        <v/>
      </c>
      <c r="I67" s="78" t="str">
        <f>IFERROR(INDEX('I2015'!G$5:G$73,MATCH($C67,'I2015'!$A$5:$A$73,0)),"")</f>
        <v/>
      </c>
      <c r="J67" s="78" t="str">
        <f>IFERROR(INDEX('I2015'!H$5:H$73,MATCH($C67,'I2015'!$A$5:$A$73,0)),"")</f>
        <v/>
      </c>
      <c r="K67" s="78" t="str">
        <f>IFERROR(INDEX('I2015'!I$5:I$73,MATCH($C67,'I2015'!$A$5:$A$73,0)),"")</f>
        <v/>
      </c>
      <c r="L67" s="78" t="str">
        <f>IFERROR(INDEX('I2015'!J$5:J$73,MATCH($C67,'I2015'!$A$5:$A$73,0)),"")</f>
        <v/>
      </c>
      <c r="M67" s="78" t="str">
        <f>IFERROR(INDEX('I2015'!K$5:K$73,MATCH($C67,'I2015'!$A$5:$A$73,0)),"")</f>
        <v/>
      </c>
      <c r="N67" s="78" t="str">
        <f>IFERROR(INDEX('I2015'!L$5:L$73,MATCH($C67,'I2015'!$A$5:$A$73,0)),"")</f>
        <v/>
      </c>
      <c r="O67" s="78" t="str">
        <f>IFERROR(INDEX('I2015'!M$5:M$73,MATCH($C67,'I2015'!$A$5:$A$73,0)),"")</f>
        <v/>
      </c>
      <c r="P67" s="78">
        <f>IFERROR(INDEX('I2016'!B$5:B$90,MATCH($C67,'I2016'!$A$5:$A$90,0)),"")</f>
        <v>1583.27</v>
      </c>
      <c r="Q67" s="78">
        <f>IFERROR(INDEX('I2016'!C$5:C$90,MATCH($C67,'I2016'!$A$5:$A$90,0)),"")</f>
        <v>3510.71</v>
      </c>
      <c r="R67" s="78">
        <f>IFERROR(INDEX('I2016'!D$5:D$90,MATCH($C67,'I2016'!$A$5:$A$90,0)),"")</f>
        <v>-162.07</v>
      </c>
      <c r="S67" s="78">
        <f>IFERROR(INDEX('I2016'!E$5:E$90,MATCH($C67,'I2016'!$A$5:$A$90,0)),"")</f>
        <v>1602.92</v>
      </c>
      <c r="T67" s="78">
        <f>IFERROR(INDEX('I2016'!F$5:F$90,MATCH($C67,'I2016'!$A$5:$A$90,0)),"")</f>
        <v>1384.01</v>
      </c>
      <c r="U67" s="78">
        <f>IFERROR(INDEX('I2016'!G$5:G$90,MATCH($C67,'I2016'!$A$5:$A$90,0)),"")</f>
        <v>1497.59</v>
      </c>
      <c r="V67" s="78">
        <f>IFERROR(INDEX('I2016'!H$5:H$90,MATCH($C67,'I2016'!$A$5:$A$90,0)),"")</f>
        <v>1954.05</v>
      </c>
      <c r="W67" s="78">
        <f>IFERROR(INDEX('I2016'!I$5:I$90,MATCH($C67,'I2016'!$A$5:$A$90,0)),"")</f>
        <v>1146.8</v>
      </c>
      <c r="X67" s="78">
        <f>IFERROR(INDEX('I2016'!J$5:J$90,MATCH($C67,'I2016'!$A$5:$A$90,0)),"")</f>
        <v>1579.1</v>
      </c>
      <c r="Y67" s="78">
        <f>IFERROR(INDEX('I2016'!K$5:K$90,MATCH($C67,'I2016'!$A$5:$A$90,0)),"")</f>
        <v>1611.37</v>
      </c>
      <c r="Z67" s="78">
        <f>IFERROR(INDEX('I2016'!L$5:L$90,MATCH($C67,'I2016'!$A$5:$A$90,0)),"")</f>
        <v>420.9</v>
      </c>
      <c r="AA67" s="78">
        <f>IFERROR(INDEX('I2016'!M$5:M$90,MATCH($C67,'I2016'!$A$5:$A$90,0)),"")</f>
        <v>551.05999999999995</v>
      </c>
      <c r="AB67" s="78">
        <f>IFERROR(INDEX('I2017'!B$5:B$96,MATCH($C67,'I2017'!$A$5:$A$96,0)),"")</f>
        <v>234.62</v>
      </c>
      <c r="AC67" s="78">
        <f>IFERROR(INDEX('I2017'!C$5:C$96,MATCH($C67,'I2017'!$A$5:$A$96,0)),"")</f>
        <v>670.77</v>
      </c>
      <c r="AD67" s="78">
        <f>IFERROR(INDEX('I2017'!D$5:D$96,MATCH($C67,'I2017'!$A$5:$A$96,0)),"")</f>
        <v>738.18</v>
      </c>
      <c r="AE67" s="78">
        <f>IFERROR(INDEX('I2017'!E$5:E$96,MATCH($C67,'I2017'!$A$5:$A$96,0)),"")</f>
        <v>11.81</v>
      </c>
      <c r="AF67" s="78">
        <f>IFERROR(INDEX('I2017'!F$5:F$96,MATCH($C67,'I2017'!$A$5:$A$96,0)),"")</f>
        <v>1197.78</v>
      </c>
      <c r="AG67" s="78">
        <f>IFERROR(INDEX('I2017'!G$5:G$96,MATCH($C67,'I2017'!$A$5:$A$96,0)),"")</f>
        <v>640.79</v>
      </c>
      <c r="AH67" s="78">
        <f>IFERROR(INDEX('I2017'!H$5:H$96,MATCH($C67,'I2017'!$A$5:$A$96,0)),"")</f>
        <v>84.429999999999993</v>
      </c>
      <c r="AI67" s="78">
        <f>IFERROR(INDEX('I2017'!I$5:I$96,MATCH($C67,'I2017'!$A$5:$A$96,0)),"")</f>
        <v>189.5</v>
      </c>
      <c r="AJ67" s="78">
        <f>IFERROR(INDEX('I2017'!J$5:J$96,MATCH($C67,'I2017'!$A$5:$A$96,0)),"")</f>
        <v>479.33</v>
      </c>
      <c r="AK67" s="78">
        <f>IFERROR(INDEX('I2017'!K$5:K$96,MATCH($C67,'I2017'!$A$5:$A$96,0)),"")</f>
        <v>191.21</v>
      </c>
      <c r="AL67" s="78">
        <f>IFERROR(INDEX('I2017'!L$5:L$96,MATCH($C67,'I2017'!$A$5:$A$96,0)),"")</f>
        <v>10.81</v>
      </c>
      <c r="AM67" s="78">
        <f>IFERROR(INDEX('I2017'!M$5:M$96,MATCH($C67,'I2017'!$A$5:$A$96,0)),"")</f>
        <v>488.56</v>
      </c>
      <c r="AN67" s="78">
        <f>IFERROR(INDEX('I2018'!B$5:B$107,MATCH($C67,'I2018'!$A$5:$A$107,0)),"")</f>
        <v>181.85</v>
      </c>
      <c r="AO67" s="78">
        <f>IFERROR(INDEX('I2018'!C$5:C$107,MATCH($C67,'I2018'!$A$5:$A$107,0)),"")</f>
        <v>309.89999999999998</v>
      </c>
      <c r="AP67" s="78">
        <f>IFERROR(INDEX('I2018'!D$5:D$107,MATCH($C67,'I2018'!$A$5:$A$107,0)),"")</f>
        <v>3232.33</v>
      </c>
      <c r="AQ67" s="78">
        <f>IFERROR(INDEX('I2018'!E$5:E$107,MATCH($C67,'I2018'!$A$5:$A$107,0)),"")</f>
        <v>1085.8</v>
      </c>
      <c r="AR67" s="78">
        <f>IFERROR(INDEX('I2018'!F$5:F$107,MATCH($C67,'I2018'!$A$5:$A$107,0)),"")</f>
        <v>699.02</v>
      </c>
      <c r="AS67" s="78">
        <f>IFERROR(INDEX('I2018'!G$5:G$107,MATCH($C67,'I2018'!$A$5:$A$107,0)),"")</f>
        <v>2389.2399999999998</v>
      </c>
      <c r="AT67" s="78">
        <f>IFERROR(INDEX('I2018'!H$5:H$107,MATCH($C67,'I2018'!$A$5:$A$107,0)),"")</f>
        <v>1469.35</v>
      </c>
      <c r="AU67" s="78">
        <f>IFERROR(INDEX('I2018'!I$5:I$107,MATCH($C67,'I2018'!$A$5:$A$107,0)),"")</f>
        <v>3109.28</v>
      </c>
      <c r="AV67" s="78">
        <f>IFERROR(INDEX('I2018'!J$5:J$107,MATCH($C67,'I2018'!$A$5:$A$107,0)),"")</f>
        <v>2243.3200000000002</v>
      </c>
      <c r="AW67" s="78">
        <f>IFERROR(INDEX('I2018'!K$5:K$107,MATCH($C67,'I2018'!$A$5:$A$107,0)),"")</f>
        <v>4108.72</v>
      </c>
      <c r="AX67" s="78">
        <f>IFERROR(INDEX('I2018'!L$5:L$107,MATCH($C67,'I2018'!$A$5:$A$107,0)),"")</f>
        <v>1548.79</v>
      </c>
      <c r="AY67" s="78">
        <f>IFERROR(INDEX('I2018'!M$5:M$107,MATCH($C67,'I2018'!$A$5:$A$107,0)),"")</f>
        <v>1753.0500000000002</v>
      </c>
      <c r="AZ67" s="78">
        <f>IFERROR(INDEX('I2019'!B$5:B$112,MATCH($C67,'I2019'!$A$5:$A$112,0)),"")</f>
        <v>2369.37</v>
      </c>
      <c r="BA67" s="78">
        <f>IFERROR(INDEX('I2019'!C$5:C$112,MATCH($C67,'I2019'!$A$5:$A$112,0)),"")</f>
        <v>462.54</v>
      </c>
      <c r="BB67" s="78">
        <f>IFERROR(INDEX('I2019'!D$5:D$112,MATCH($C67,'I2019'!$A$5:$A$112,0)),"")</f>
        <v>973.79</v>
      </c>
      <c r="BC67" s="78">
        <f>IFERROR(INDEX('I2019'!E$5:E$112,MATCH($C67,'I2019'!$A$5:$A$112,0)),"")</f>
        <v>1040.8800000000001</v>
      </c>
      <c r="BD67" s="78">
        <f>IFERROR(INDEX('I2019'!F$5:F$112,MATCH($C67,'I2019'!$A$5:$A$112,0)),"")</f>
        <v>2413.12</v>
      </c>
      <c r="BE67" s="78">
        <f>IFERROR(INDEX('I2019'!G$5:G$112,MATCH($C67,'I2019'!$A$5:$A$112,0)),"")</f>
        <v>1425.8600000000001</v>
      </c>
      <c r="BF67" s="78">
        <f>IFERROR(INDEX('I2019'!H$5:H$112,MATCH($C67,'I2019'!$A$5:$A$112,0)),"")</f>
        <v>2058.3200000000002</v>
      </c>
      <c r="BG67" s="78">
        <f>IFERROR(INDEX('I2019'!I$5:I$112,MATCH($C67,'I2019'!$A$5:$A$112,0)),"")</f>
        <v>753.48</v>
      </c>
      <c r="BH67" s="78">
        <f>IFERROR(INDEX('I2019'!J$5:J$112,MATCH($C67,'I2019'!$A$5:$A$112,0)),"")</f>
        <v>685.12</v>
      </c>
      <c r="BI67" s="78">
        <f>IFERROR(INDEX('I2019'!K$5:K$112,MATCH($C67,'I2019'!$A$5:$A$112,0)),"")</f>
        <v>1356.44</v>
      </c>
      <c r="BJ67" s="78">
        <f>IFERROR(INDEX('I2019'!L$5:L$112,MATCH($C67,'I2019'!$A$5:$A$112,0)),"")</f>
        <v>570.18000000000006</v>
      </c>
      <c r="BK67" s="78">
        <f>IFERROR(INDEX('I2019'!M$5:M$112,MATCH($C67,'I2019'!$A$5:$A$112,0)),"")</f>
        <v>570.4</v>
      </c>
      <c r="BL67" s="78">
        <f>IFERROR(INDEX('I2020'!B$5:B$113,MATCH($C67,'I2020'!$A$5:$A$113,0)),"")</f>
        <v>818.06</v>
      </c>
      <c r="BM67" s="78">
        <f>IFERROR(INDEX('I2020'!C$5:C$113,MATCH($C67,'I2020'!$A$5:$A$113,0)),"")</f>
        <v>984.01</v>
      </c>
      <c r="BN67" s="78">
        <f>IFERROR(INDEX('I2020'!D$5:D$113,MATCH($C67,'I2020'!$A$5:$A$113,0)),"")</f>
        <v>443.04</v>
      </c>
      <c r="BO67" s="78">
        <f>IFERROR(INDEX('I2020'!E$5:E$113,MATCH($C67,'I2020'!$A$5:$A$113,0)),"")</f>
        <v>437.27</v>
      </c>
      <c r="BP67" s="78">
        <f>IFERROR(INDEX('I2020'!F$5:F$113,MATCH($C67,'I2020'!$A$5:$A$113,0)),"")</f>
        <v>852.88</v>
      </c>
      <c r="BQ67" s="398">
        <f>IFERROR(INDEX('I2020'!G$5:G$113,MATCH($C67,'I2020'!$A$5:$A$113,0)),"")</f>
        <v>789.37</v>
      </c>
      <c r="BR67" s="153">
        <f t="shared" ref="BQ67:CI67" si="85">BR134*$B$67</f>
        <v>1196.0399136100164</v>
      </c>
      <c r="BS67" s="153">
        <f t="shared" si="85"/>
        <v>1212.8327711289026</v>
      </c>
      <c r="BT67" s="153">
        <f t="shared" si="85"/>
        <v>1241.6271075584652</v>
      </c>
      <c r="BU67" s="153">
        <f t="shared" si="85"/>
        <v>1280.9442301414358</v>
      </c>
      <c r="BV67" s="153">
        <f t="shared" si="85"/>
        <v>1329.6564808534924</v>
      </c>
      <c r="BW67" s="153">
        <f t="shared" si="85"/>
        <v>1386.9203472275578</v>
      </c>
      <c r="BX67" s="153">
        <f t="shared" si="85"/>
        <v>1437.5793677649822</v>
      </c>
      <c r="BY67" s="153">
        <f t="shared" si="85"/>
        <v>1483.0272305446651</v>
      </c>
      <c r="BZ67" s="153">
        <f t="shared" si="85"/>
        <v>1524.379976813402</v>
      </c>
      <c r="CA67" s="153">
        <f t="shared" si="85"/>
        <v>1562.5315467140563</v>
      </c>
      <c r="CB67" s="153">
        <f t="shared" si="85"/>
        <v>1598.19821611353</v>
      </c>
      <c r="CC67" s="153">
        <f t="shared" si="85"/>
        <v>1631.9541463142427</v>
      </c>
      <c r="CD67" s="153">
        <f t="shared" si="85"/>
        <v>1664.2598240761645</v>
      </c>
      <c r="CE67" s="153">
        <f t="shared" si="85"/>
        <v>1695.4848138910734</v>
      </c>
      <c r="CF67" s="153">
        <f t="shared" si="85"/>
        <v>1725.9259600624528</v>
      </c>
      <c r="CG67" s="153">
        <f t="shared" si="85"/>
        <v>1755.8219486337996</v>
      </c>
      <c r="CH67" s="153">
        <f t="shared" si="85"/>
        <v>1785.3649571996352</v>
      </c>
      <c r="CI67" s="154">
        <f t="shared" si="85"/>
        <v>1814.7099750266925</v>
      </c>
      <c r="CJ67" s="289"/>
    </row>
    <row r="68" spans="1:88" x14ac:dyDescent="0.3">
      <c r="A68" s="33"/>
      <c r="B68" s="167"/>
      <c r="C68" s="21" t="s">
        <v>50</v>
      </c>
      <c r="D68" s="102" t="str">
        <f>IFERROR(INDEX('I2015'!B$5:B$73,MATCH($C68,'I2015'!$A$5:$A$73,0)),"")</f>
        <v/>
      </c>
      <c r="E68" s="102" t="str">
        <f>IFERROR(INDEX('I2015'!C$5:C$73,MATCH($C68,'I2015'!$A$5:$A$73,0)),"")</f>
        <v/>
      </c>
      <c r="F68" s="102" t="str">
        <f>IFERROR(INDEX('I2015'!D$5:D$73,MATCH($C68,'I2015'!$A$5:$A$73,0)),"")</f>
        <v/>
      </c>
      <c r="G68" s="102" t="str">
        <f>IFERROR(INDEX('I2015'!E$5:E$73,MATCH($C68,'I2015'!$A$5:$A$73,0)),"")</f>
        <v/>
      </c>
      <c r="H68" s="102" t="str">
        <f>IFERROR(INDEX('I2015'!F$5:F$73,MATCH($C68,'I2015'!$A$5:$A$73,0)),"")</f>
        <v/>
      </c>
      <c r="I68" s="102" t="str">
        <f>IFERROR(INDEX('I2015'!G$5:G$73,MATCH($C68,'I2015'!$A$5:$A$73,0)),"")</f>
        <v/>
      </c>
      <c r="J68" s="102" t="str">
        <f>IFERROR(INDEX('I2015'!H$5:H$73,MATCH($C68,'I2015'!$A$5:$A$73,0)),"")</f>
        <v/>
      </c>
      <c r="K68" s="102" t="str">
        <f>IFERROR(INDEX('I2015'!I$5:I$73,MATCH($C68,'I2015'!$A$5:$A$73,0)),"")</f>
        <v/>
      </c>
      <c r="L68" s="102" t="str">
        <f>IFERROR(INDEX('I2015'!J$5:J$73,MATCH($C68,'I2015'!$A$5:$A$73,0)),"")</f>
        <v/>
      </c>
      <c r="M68" s="102" t="str">
        <f>IFERROR(INDEX('I2015'!K$5:K$73,MATCH($C68,'I2015'!$A$5:$A$73,0)),"")</f>
        <v/>
      </c>
      <c r="N68" s="102" t="str">
        <f>IFERROR(INDEX('I2015'!L$5:L$73,MATCH($C68,'I2015'!$A$5:$A$73,0)),"")</f>
        <v/>
      </c>
      <c r="O68" s="102" t="str">
        <f>IFERROR(INDEX('I2015'!M$5:M$73,MATCH($C68,'I2015'!$A$5:$A$73,0)),"")</f>
        <v/>
      </c>
      <c r="P68" s="102" t="str">
        <f>IFERROR(INDEX('I2016'!B$5:B$90,MATCH($C68,'I2016'!$A$5:$A$90,0)),"")</f>
        <v/>
      </c>
      <c r="Q68" s="102" t="str">
        <f>IFERROR(INDEX('I2016'!C$5:C$90,MATCH($C68,'I2016'!$A$5:$A$90,0)),"")</f>
        <v/>
      </c>
      <c r="R68" s="102" t="str">
        <f>IFERROR(INDEX('I2016'!D$5:D$90,MATCH($C68,'I2016'!$A$5:$A$90,0)),"")</f>
        <v/>
      </c>
      <c r="S68" s="102" t="str">
        <f>IFERROR(INDEX('I2016'!E$5:E$90,MATCH($C68,'I2016'!$A$5:$A$90,0)),"")</f>
        <v/>
      </c>
      <c r="T68" s="102" t="str">
        <f>IFERROR(INDEX('I2016'!F$5:F$90,MATCH($C68,'I2016'!$A$5:$A$90,0)),"")</f>
        <v/>
      </c>
      <c r="U68" s="102" t="str">
        <f>IFERROR(INDEX('I2016'!G$5:G$90,MATCH($C68,'I2016'!$A$5:$A$90,0)),"")</f>
        <v/>
      </c>
      <c r="V68" s="102" t="str">
        <f>IFERROR(INDEX('I2016'!H$5:H$90,MATCH($C68,'I2016'!$A$5:$A$90,0)),"")</f>
        <v/>
      </c>
      <c r="W68" s="102" t="str">
        <f>IFERROR(INDEX('I2016'!I$5:I$90,MATCH($C68,'I2016'!$A$5:$A$90,0)),"")</f>
        <v/>
      </c>
      <c r="X68" s="102" t="str">
        <f>IFERROR(INDEX('I2016'!J$5:J$90,MATCH($C68,'I2016'!$A$5:$A$90,0)),"")</f>
        <v/>
      </c>
      <c r="Y68" s="102" t="str">
        <f>IFERROR(INDEX('I2016'!K$5:K$90,MATCH($C68,'I2016'!$A$5:$A$90,0)),"")</f>
        <v/>
      </c>
      <c r="Z68" s="102" t="str">
        <f>IFERROR(INDEX('I2016'!L$5:L$90,MATCH($C68,'I2016'!$A$5:$A$90,0)),"")</f>
        <v/>
      </c>
      <c r="AA68" s="102" t="str">
        <f>IFERROR(INDEX('I2016'!M$5:M$90,MATCH($C68,'I2016'!$A$5:$A$90,0)),"")</f>
        <v/>
      </c>
      <c r="AB68" s="102">
        <f>IFERROR(INDEX('I2017'!B$5:B$96,MATCH($C68,'I2017'!$A$5:$A$96,0)),"")</f>
        <v>0</v>
      </c>
      <c r="AC68" s="102">
        <f>IFERROR(INDEX('I2017'!C$5:C$96,MATCH($C68,'I2017'!$A$5:$A$96,0)),"")</f>
        <v>0</v>
      </c>
      <c r="AD68" s="102">
        <f>IFERROR(INDEX('I2017'!D$5:D$96,MATCH($C68,'I2017'!$A$5:$A$96,0)),"")</f>
        <v>0</v>
      </c>
      <c r="AE68" s="102">
        <f>IFERROR(INDEX('I2017'!E$5:E$96,MATCH($C68,'I2017'!$A$5:$A$96,0)),"")</f>
        <v>0</v>
      </c>
      <c r="AF68" s="102">
        <f>IFERROR(INDEX('I2017'!F$5:F$96,MATCH($C68,'I2017'!$A$5:$A$96,0)),"")</f>
        <v>0</v>
      </c>
      <c r="AG68" s="102">
        <f>IFERROR(INDEX('I2017'!G$5:G$96,MATCH($C68,'I2017'!$A$5:$A$96,0)),"")</f>
        <v>0</v>
      </c>
      <c r="AH68" s="102">
        <f>IFERROR(INDEX('I2017'!H$5:H$96,MATCH($C68,'I2017'!$A$5:$A$96,0)),"")</f>
        <v>0</v>
      </c>
      <c r="AI68" s="102">
        <f>IFERROR(INDEX('I2017'!I$5:I$96,MATCH($C68,'I2017'!$A$5:$A$96,0)),"")</f>
        <v>0</v>
      </c>
      <c r="AJ68" s="102">
        <f>IFERROR(INDEX('I2017'!J$5:J$96,MATCH($C68,'I2017'!$A$5:$A$96,0)),"")</f>
        <v>0</v>
      </c>
      <c r="AK68" s="102">
        <f>IFERROR(INDEX('I2017'!K$5:K$96,MATCH($C68,'I2017'!$A$5:$A$96,0)),"")</f>
        <v>0</v>
      </c>
      <c r="AL68" s="102">
        <f>IFERROR(INDEX('I2017'!L$5:L$96,MATCH($C68,'I2017'!$A$5:$A$96,0)),"")</f>
        <v>0</v>
      </c>
      <c r="AM68" s="102">
        <f>IFERROR(INDEX('I2017'!M$5:M$96,MATCH($C68,'I2017'!$A$5:$A$96,0)),"")</f>
        <v>0</v>
      </c>
      <c r="AN68" s="102">
        <f>IFERROR(INDEX('I2018'!B$5:B$107,MATCH($C68,'I2018'!$A$5:$A$107,0)),"")</f>
        <v>0</v>
      </c>
      <c r="AO68" s="102">
        <f>IFERROR(INDEX('I2018'!C$5:C$107,MATCH($C68,'I2018'!$A$5:$A$107,0)),"")</f>
        <v>0</v>
      </c>
      <c r="AP68" s="102">
        <f>IFERROR(INDEX('I2018'!D$5:D$107,MATCH($C68,'I2018'!$A$5:$A$107,0)),"")</f>
        <v>0</v>
      </c>
      <c r="AQ68" s="102">
        <f>IFERROR(INDEX('I2018'!E$5:E$107,MATCH($C68,'I2018'!$A$5:$A$107,0)),"")</f>
        <v>0</v>
      </c>
      <c r="AR68" s="102">
        <f>IFERROR(INDEX('I2018'!F$5:F$107,MATCH($C68,'I2018'!$A$5:$A$107,0)),"")</f>
        <v>0</v>
      </c>
      <c r="AS68" s="102">
        <f>IFERROR(INDEX('I2018'!G$5:G$107,MATCH($C68,'I2018'!$A$5:$A$107,0)),"")</f>
        <v>0</v>
      </c>
      <c r="AT68" s="102">
        <f>IFERROR(INDEX('I2018'!H$5:H$107,MATCH($C68,'I2018'!$A$5:$A$107,0)),"")</f>
        <v>0</v>
      </c>
      <c r="AU68" s="102">
        <f>IFERROR(INDEX('I2018'!I$5:I$107,MATCH($C68,'I2018'!$A$5:$A$107,0)),"")</f>
        <v>0</v>
      </c>
      <c r="AV68" s="102">
        <f>IFERROR(INDEX('I2018'!J$5:J$107,MATCH($C68,'I2018'!$A$5:$A$107,0)),"")</f>
        <v>0</v>
      </c>
      <c r="AW68" s="102">
        <f>IFERROR(INDEX('I2018'!K$5:K$107,MATCH($C68,'I2018'!$A$5:$A$107,0)),"")</f>
        <v>26</v>
      </c>
      <c r="AX68" s="102">
        <f>IFERROR(INDEX('I2018'!L$5:L$107,MATCH($C68,'I2018'!$A$5:$A$107,0)),"")</f>
        <v>0</v>
      </c>
      <c r="AY68" s="102">
        <f>IFERROR(INDEX('I2018'!M$5:M$107,MATCH($C68,'I2018'!$A$5:$A$107,0)),"")</f>
        <v>0</v>
      </c>
      <c r="AZ68" s="102">
        <f>IFERROR(INDEX('I2019'!B$5:B$112,MATCH($C68,'I2019'!$A$5:$A$112,0)),"")</f>
        <v>0</v>
      </c>
      <c r="BA68" s="102">
        <f>IFERROR(INDEX('I2019'!C$5:C$112,MATCH($C68,'I2019'!$A$5:$A$112,0)),"")</f>
        <v>0</v>
      </c>
      <c r="BB68" s="102">
        <f>IFERROR(INDEX('I2019'!D$5:D$112,MATCH($C68,'I2019'!$A$5:$A$112,0)),"")</f>
        <v>0</v>
      </c>
      <c r="BC68" s="102">
        <f>IFERROR(INDEX('I2019'!E$5:E$112,MATCH($C68,'I2019'!$A$5:$A$112,0)),"")</f>
        <v>0</v>
      </c>
      <c r="BD68" s="102">
        <f>IFERROR(INDEX('I2019'!F$5:F$112,MATCH($C68,'I2019'!$A$5:$A$112,0)),"")</f>
        <v>0</v>
      </c>
      <c r="BE68" s="102">
        <f>IFERROR(INDEX('I2019'!G$5:G$112,MATCH($C68,'I2019'!$A$5:$A$112,0)),"")</f>
        <v>0</v>
      </c>
      <c r="BF68" s="102">
        <f>IFERROR(INDEX('I2019'!H$5:H$112,MATCH($C68,'I2019'!$A$5:$A$112,0)),"")</f>
        <v>0</v>
      </c>
      <c r="BG68" s="102">
        <f>IFERROR(INDEX('I2019'!I$5:I$112,MATCH($C68,'I2019'!$A$5:$A$112,0)),"")</f>
        <v>0</v>
      </c>
      <c r="BH68" s="102">
        <f>IFERROR(INDEX('I2019'!J$5:J$112,MATCH($C68,'I2019'!$A$5:$A$112,0)),"")</f>
        <v>0</v>
      </c>
      <c r="BI68" s="102">
        <f>IFERROR(INDEX('I2019'!K$5:K$112,MATCH($C68,'I2019'!$A$5:$A$112,0)),"")</f>
        <v>0</v>
      </c>
      <c r="BJ68" s="102">
        <f>IFERROR(INDEX('I2019'!L$5:L$112,MATCH($C68,'I2019'!$A$5:$A$112,0)),"")</f>
        <v>0</v>
      </c>
      <c r="BK68" s="102">
        <f>IFERROR(INDEX('I2019'!M$5:M$112,MATCH($C68,'I2019'!$A$5:$A$112,0)),"")</f>
        <v>0</v>
      </c>
      <c r="BL68" s="102">
        <f>IFERROR(INDEX('I2020'!B$5:B$113,MATCH($C68,'I2020'!$A$5:$A$113,0)),"")</f>
        <v>0</v>
      </c>
      <c r="BM68" s="102">
        <f>IFERROR(INDEX('I2020'!C$5:C$113,MATCH($C68,'I2020'!$A$5:$A$113,0)),"")</f>
        <v>0</v>
      </c>
      <c r="BN68" s="102">
        <f>IFERROR(INDEX('I2020'!D$5:D$113,MATCH($C68,'I2020'!$A$5:$A$113,0)),"")</f>
        <v>0</v>
      </c>
      <c r="BO68" s="102">
        <f>IFERROR(INDEX('I2020'!E$5:E$113,MATCH($C68,'I2020'!$A$5:$A$113,0)),"")</f>
        <v>0</v>
      </c>
      <c r="BP68" s="102">
        <f>IFERROR(INDEX('I2020'!F$5:F$113,MATCH($C68,'I2020'!$A$5:$A$113,0)),"")</f>
        <v>0</v>
      </c>
      <c r="BQ68" s="392">
        <f>IFERROR(INDEX('I2020'!G$5:G$113,MATCH($C68,'I2020'!$A$5:$A$113,0)),"")</f>
        <v>254.15</v>
      </c>
      <c r="BR68" s="64"/>
      <c r="BS68" s="64"/>
      <c r="BT68" s="64"/>
      <c r="BU68" s="64"/>
      <c r="BV68" s="64"/>
      <c r="BW68" s="64"/>
      <c r="BX68" s="64"/>
      <c r="BY68" s="64"/>
      <c r="BZ68" s="64"/>
      <c r="CA68" s="64"/>
      <c r="CB68" s="64"/>
      <c r="CC68" s="64"/>
      <c r="CD68" s="64"/>
      <c r="CE68" s="64"/>
      <c r="CF68" s="64"/>
      <c r="CG68" s="64"/>
      <c r="CH68" s="64"/>
      <c r="CI68" s="124"/>
      <c r="CJ68" s="134"/>
    </row>
    <row r="69" spans="1:88" x14ac:dyDescent="0.3">
      <c r="A69" s="33"/>
      <c r="B69" s="68"/>
      <c r="C69" s="21" t="s">
        <v>51</v>
      </c>
      <c r="D69" s="102" t="str">
        <f>IFERROR(INDEX('I2015'!B$5:B$73,MATCH($C69,'I2015'!$A$5:$A$73,0)),"")</f>
        <v/>
      </c>
      <c r="E69" s="102" t="str">
        <f>IFERROR(INDEX('I2015'!C$5:C$73,MATCH($C69,'I2015'!$A$5:$A$73,0)),"")</f>
        <v/>
      </c>
      <c r="F69" s="102" t="str">
        <f>IFERROR(INDEX('I2015'!D$5:D$73,MATCH($C69,'I2015'!$A$5:$A$73,0)),"")</f>
        <v/>
      </c>
      <c r="G69" s="102" t="str">
        <f>IFERROR(INDEX('I2015'!E$5:E$73,MATCH($C69,'I2015'!$A$5:$A$73,0)),"")</f>
        <v/>
      </c>
      <c r="H69" s="102" t="str">
        <f>IFERROR(INDEX('I2015'!F$5:F$73,MATCH($C69,'I2015'!$A$5:$A$73,0)),"")</f>
        <v/>
      </c>
      <c r="I69" s="102" t="str">
        <f>IFERROR(INDEX('I2015'!G$5:G$73,MATCH($C69,'I2015'!$A$5:$A$73,0)),"")</f>
        <v/>
      </c>
      <c r="J69" s="102" t="str">
        <f>IFERROR(INDEX('I2015'!H$5:H$73,MATCH($C69,'I2015'!$A$5:$A$73,0)),"")</f>
        <v/>
      </c>
      <c r="K69" s="102" t="str">
        <f>IFERROR(INDEX('I2015'!I$5:I$73,MATCH($C69,'I2015'!$A$5:$A$73,0)),"")</f>
        <v/>
      </c>
      <c r="L69" s="102" t="str">
        <f>IFERROR(INDEX('I2015'!J$5:J$73,MATCH($C69,'I2015'!$A$5:$A$73,0)),"")</f>
        <v/>
      </c>
      <c r="M69" s="102" t="str">
        <f>IFERROR(INDEX('I2015'!K$5:K$73,MATCH($C69,'I2015'!$A$5:$A$73,0)),"")</f>
        <v/>
      </c>
      <c r="N69" s="102" t="str">
        <f>IFERROR(INDEX('I2015'!L$5:L$73,MATCH($C69,'I2015'!$A$5:$A$73,0)),"")</f>
        <v/>
      </c>
      <c r="O69" s="102" t="str">
        <f>IFERROR(INDEX('I2015'!M$5:M$73,MATCH($C69,'I2015'!$A$5:$A$73,0)),"")</f>
        <v/>
      </c>
      <c r="P69" s="102" t="str">
        <f>IFERROR(INDEX('I2016'!B$5:B$90,MATCH($C69,'I2016'!$A$5:$A$90,0)),"")</f>
        <v/>
      </c>
      <c r="Q69" s="102" t="str">
        <f>IFERROR(INDEX('I2016'!C$5:C$90,MATCH($C69,'I2016'!$A$5:$A$90,0)),"")</f>
        <v/>
      </c>
      <c r="R69" s="102" t="str">
        <f>IFERROR(INDEX('I2016'!D$5:D$90,MATCH($C69,'I2016'!$A$5:$A$90,0)),"")</f>
        <v/>
      </c>
      <c r="S69" s="102" t="str">
        <f>IFERROR(INDEX('I2016'!E$5:E$90,MATCH($C69,'I2016'!$A$5:$A$90,0)),"")</f>
        <v/>
      </c>
      <c r="T69" s="102" t="str">
        <f>IFERROR(INDEX('I2016'!F$5:F$90,MATCH($C69,'I2016'!$A$5:$A$90,0)),"")</f>
        <v/>
      </c>
      <c r="U69" s="102" t="str">
        <f>IFERROR(INDEX('I2016'!G$5:G$90,MATCH($C69,'I2016'!$A$5:$A$90,0)),"")</f>
        <v/>
      </c>
      <c r="V69" s="102" t="str">
        <f>IFERROR(INDEX('I2016'!H$5:H$90,MATCH($C69,'I2016'!$A$5:$A$90,0)),"")</f>
        <v/>
      </c>
      <c r="W69" s="102" t="str">
        <f>IFERROR(INDEX('I2016'!I$5:I$90,MATCH($C69,'I2016'!$A$5:$A$90,0)),"")</f>
        <v/>
      </c>
      <c r="X69" s="102" t="str">
        <f>IFERROR(INDEX('I2016'!J$5:J$90,MATCH($C69,'I2016'!$A$5:$A$90,0)),"")</f>
        <v/>
      </c>
      <c r="Y69" s="102" t="str">
        <f>IFERROR(INDEX('I2016'!K$5:K$90,MATCH($C69,'I2016'!$A$5:$A$90,0)),"")</f>
        <v/>
      </c>
      <c r="Z69" s="102" t="str">
        <f>IFERROR(INDEX('I2016'!L$5:L$90,MATCH($C69,'I2016'!$A$5:$A$90,0)),"")</f>
        <v/>
      </c>
      <c r="AA69" s="102" t="str">
        <f>IFERROR(INDEX('I2016'!M$5:M$90,MATCH($C69,'I2016'!$A$5:$A$90,0)),"")</f>
        <v/>
      </c>
      <c r="AB69" s="102">
        <f>IFERROR(INDEX('I2017'!B$5:B$96,MATCH($C69,'I2017'!$A$5:$A$96,0)),"")</f>
        <v>0</v>
      </c>
      <c r="AC69" s="102">
        <f>IFERROR(INDEX('I2017'!C$5:C$96,MATCH($C69,'I2017'!$A$5:$A$96,0)),"")</f>
        <v>0</v>
      </c>
      <c r="AD69" s="102">
        <f>IFERROR(INDEX('I2017'!D$5:D$96,MATCH($C69,'I2017'!$A$5:$A$96,0)),"")</f>
        <v>130.28</v>
      </c>
      <c r="AE69" s="102">
        <f>IFERROR(INDEX('I2017'!E$5:E$96,MATCH($C69,'I2017'!$A$5:$A$96,0)),"")</f>
        <v>0</v>
      </c>
      <c r="AF69" s="102">
        <f>IFERROR(INDEX('I2017'!F$5:F$96,MATCH($C69,'I2017'!$A$5:$A$96,0)),"")</f>
        <v>200.57</v>
      </c>
      <c r="AG69" s="102">
        <f>IFERROR(INDEX('I2017'!G$5:G$96,MATCH($C69,'I2017'!$A$5:$A$96,0)),"")</f>
        <v>105</v>
      </c>
      <c r="AH69" s="102">
        <f>IFERROR(INDEX('I2017'!H$5:H$96,MATCH($C69,'I2017'!$A$5:$A$96,0)),"")</f>
        <v>0</v>
      </c>
      <c r="AI69" s="102">
        <f>IFERROR(INDEX('I2017'!I$5:I$96,MATCH($C69,'I2017'!$A$5:$A$96,0)),"")</f>
        <v>0</v>
      </c>
      <c r="AJ69" s="102">
        <f>IFERROR(INDEX('I2017'!J$5:J$96,MATCH($C69,'I2017'!$A$5:$A$96,0)),"")</f>
        <v>393.6</v>
      </c>
      <c r="AK69" s="102">
        <f>IFERROR(INDEX('I2017'!K$5:K$96,MATCH($C69,'I2017'!$A$5:$A$96,0)),"")</f>
        <v>33.69</v>
      </c>
      <c r="AL69" s="102">
        <f>IFERROR(INDEX('I2017'!L$5:L$96,MATCH($C69,'I2017'!$A$5:$A$96,0)),"")</f>
        <v>147.51</v>
      </c>
      <c r="AM69" s="102">
        <f>IFERROR(INDEX('I2017'!M$5:M$96,MATCH($C69,'I2017'!$A$5:$A$96,0)),"")</f>
        <v>16.63</v>
      </c>
      <c r="AN69" s="102">
        <f>IFERROR(INDEX('I2018'!B$5:B$107,MATCH($C69,'I2018'!$A$5:$A$107,0)),"")</f>
        <v>192.73</v>
      </c>
      <c r="AO69" s="102">
        <f>IFERROR(INDEX('I2018'!C$5:C$107,MATCH($C69,'I2018'!$A$5:$A$107,0)),"")</f>
        <v>44.35</v>
      </c>
      <c r="AP69" s="102">
        <f>IFERROR(INDEX('I2018'!D$5:D$107,MATCH($C69,'I2018'!$A$5:$A$107,0)),"")</f>
        <v>83.07</v>
      </c>
      <c r="AQ69" s="102">
        <f>IFERROR(INDEX('I2018'!E$5:E$107,MATCH($C69,'I2018'!$A$5:$A$107,0)),"")</f>
        <v>17.82</v>
      </c>
      <c r="AR69" s="102">
        <f>IFERROR(INDEX('I2018'!F$5:F$107,MATCH($C69,'I2018'!$A$5:$A$107,0)),"")</f>
        <v>8.41</v>
      </c>
      <c r="AS69" s="102">
        <f>IFERROR(INDEX('I2018'!G$5:G$107,MATCH($C69,'I2018'!$A$5:$A$107,0)),"")</f>
        <v>4.8499999999999996</v>
      </c>
      <c r="AT69" s="102">
        <f>IFERROR(INDEX('I2018'!H$5:H$107,MATCH($C69,'I2018'!$A$5:$A$107,0)),"")</f>
        <v>44.13</v>
      </c>
      <c r="AU69" s="102">
        <f>IFERROR(INDEX('I2018'!I$5:I$107,MATCH($C69,'I2018'!$A$5:$A$107,0)),"")</f>
        <v>19.059999999999999</v>
      </c>
      <c r="AV69" s="102">
        <f>IFERROR(INDEX('I2018'!J$5:J$107,MATCH($C69,'I2018'!$A$5:$A$107,0)),"")</f>
        <v>1201.77</v>
      </c>
      <c r="AW69" s="102">
        <f>IFERROR(INDEX('I2018'!K$5:K$107,MATCH($C69,'I2018'!$A$5:$A$107,0)),"")</f>
        <v>2265.64</v>
      </c>
      <c r="AX69" s="102">
        <f>IFERROR(INDEX('I2018'!L$5:L$107,MATCH($C69,'I2018'!$A$5:$A$107,0)),"")</f>
        <v>0</v>
      </c>
      <c r="AY69" s="102">
        <f>IFERROR(INDEX('I2018'!M$5:M$107,MATCH($C69,'I2018'!$A$5:$A$107,0)),"")</f>
        <v>415.07</v>
      </c>
      <c r="AZ69" s="102">
        <f>IFERROR(INDEX('I2019'!B$5:B$112,MATCH($C69,'I2019'!$A$5:$A$112,0)),"")</f>
        <v>506.8</v>
      </c>
      <c r="BA69" s="102">
        <f>IFERROR(INDEX('I2019'!C$5:C$112,MATCH($C69,'I2019'!$A$5:$A$112,0)),"")</f>
        <v>1245.6600000000001</v>
      </c>
      <c r="BB69" s="102">
        <f>IFERROR(INDEX('I2019'!D$5:D$112,MATCH($C69,'I2019'!$A$5:$A$112,0)),"")</f>
        <v>188.46</v>
      </c>
      <c r="BC69" s="102">
        <f>IFERROR(INDEX('I2019'!E$5:E$112,MATCH($C69,'I2019'!$A$5:$A$112,0)),"")</f>
        <v>203.75</v>
      </c>
      <c r="BD69" s="102">
        <f>IFERROR(INDEX('I2019'!F$5:F$112,MATCH($C69,'I2019'!$A$5:$A$112,0)),"")</f>
        <v>173.85</v>
      </c>
      <c r="BE69" s="102">
        <f>IFERROR(INDEX('I2019'!G$5:G$112,MATCH($C69,'I2019'!$A$5:$A$112,0)),"")</f>
        <v>113.79</v>
      </c>
      <c r="BF69" s="102">
        <f>IFERROR(INDEX('I2019'!H$5:H$112,MATCH($C69,'I2019'!$A$5:$A$112,0)),"")</f>
        <v>92.62</v>
      </c>
      <c r="BG69" s="102">
        <f>IFERROR(INDEX('I2019'!I$5:I$112,MATCH($C69,'I2019'!$A$5:$A$112,0)),"")</f>
        <v>122.6</v>
      </c>
      <c r="BH69" s="102">
        <f>IFERROR(INDEX('I2019'!J$5:J$112,MATCH($C69,'I2019'!$A$5:$A$112,0)),"")</f>
        <v>40.64</v>
      </c>
      <c r="BI69" s="102">
        <f>IFERROR(INDEX('I2019'!K$5:K$112,MATCH($C69,'I2019'!$A$5:$A$112,0)),"")</f>
        <v>25.85</v>
      </c>
      <c r="BJ69" s="102">
        <f>IFERROR(INDEX('I2019'!L$5:L$112,MATCH($C69,'I2019'!$A$5:$A$112,0)),"")</f>
        <v>430.5</v>
      </c>
      <c r="BK69" s="102">
        <f>IFERROR(INDEX('I2019'!M$5:M$112,MATCH($C69,'I2019'!$A$5:$A$112,0)),"")</f>
        <v>226.11</v>
      </c>
      <c r="BL69" s="102">
        <f>IFERROR(INDEX('I2020'!B$5:B$113,MATCH($C69,'I2020'!$A$5:$A$113,0)),"")</f>
        <v>237.87</v>
      </c>
      <c r="BM69" s="102">
        <f>IFERROR(INDEX('I2020'!C$5:C$113,MATCH($C69,'I2020'!$A$5:$A$113,0)),"")</f>
        <v>317.3</v>
      </c>
      <c r="BN69" s="102">
        <f>IFERROR(INDEX('I2020'!D$5:D$113,MATCH($C69,'I2020'!$A$5:$A$113,0)),"")</f>
        <v>363.57</v>
      </c>
      <c r="BO69" s="102">
        <f>IFERROR(INDEX('I2020'!E$5:E$113,MATCH($C69,'I2020'!$A$5:$A$113,0)),"")</f>
        <v>196.55</v>
      </c>
      <c r="BP69" s="102">
        <f>IFERROR(INDEX('I2020'!F$5:F$113,MATCH($C69,'I2020'!$A$5:$A$113,0)),"")</f>
        <v>41.62</v>
      </c>
      <c r="BQ69" s="392">
        <f>IFERROR(INDEX('I2020'!G$5:G$113,MATCH($C69,'I2020'!$A$5:$A$113,0)),"")</f>
        <v>1199.8399999999999</v>
      </c>
      <c r="BR69" s="64"/>
      <c r="BS69" s="64"/>
      <c r="BT69" s="64"/>
      <c r="BU69" s="64"/>
      <c r="BV69" s="64"/>
      <c r="BW69" s="64"/>
      <c r="BX69" s="64"/>
      <c r="BY69" s="64"/>
      <c r="BZ69" s="64"/>
      <c r="CA69" s="64"/>
      <c r="CB69" s="64"/>
      <c r="CC69" s="64"/>
      <c r="CD69" s="64"/>
      <c r="CE69" s="64"/>
      <c r="CF69" s="64"/>
      <c r="CG69" s="64"/>
      <c r="CH69" s="64"/>
      <c r="CI69" s="124"/>
      <c r="CJ69" s="134"/>
    </row>
    <row r="70" spans="1:88" x14ac:dyDescent="0.3">
      <c r="A70" s="33"/>
      <c r="B70" s="68"/>
      <c r="C70" s="21" t="s">
        <v>52</v>
      </c>
      <c r="D70" s="22" t="str">
        <f>IFERROR(INDEX('I2015'!B$5:B$73,MATCH($C70,'I2015'!$A$5:$A$73,0)),"")</f>
        <v/>
      </c>
      <c r="E70" s="22" t="str">
        <f>IFERROR(INDEX('I2015'!C$5:C$73,MATCH($C70,'I2015'!$A$5:$A$73,0)),"")</f>
        <v/>
      </c>
      <c r="F70" s="22" t="str">
        <f>IFERROR(INDEX('I2015'!D$5:D$73,MATCH($C70,'I2015'!$A$5:$A$73,0)),"")</f>
        <v/>
      </c>
      <c r="G70" s="22" t="str">
        <f>IFERROR(INDEX('I2015'!E$5:E$73,MATCH($C70,'I2015'!$A$5:$A$73,0)),"")</f>
        <v/>
      </c>
      <c r="H70" s="22" t="str">
        <f>IFERROR(INDEX('I2015'!F$5:F$73,MATCH($C70,'I2015'!$A$5:$A$73,0)),"")</f>
        <v/>
      </c>
      <c r="I70" s="22" t="str">
        <f>IFERROR(INDEX('I2015'!G$5:G$73,MATCH($C70,'I2015'!$A$5:$A$73,0)),"")</f>
        <v/>
      </c>
      <c r="J70" s="22" t="str">
        <f>IFERROR(INDEX('I2015'!H$5:H$73,MATCH($C70,'I2015'!$A$5:$A$73,0)),"")</f>
        <v/>
      </c>
      <c r="K70" s="22" t="str">
        <f>IFERROR(INDEX('I2015'!I$5:I$73,MATCH($C70,'I2015'!$A$5:$A$73,0)),"")</f>
        <v/>
      </c>
      <c r="L70" s="22" t="str">
        <f>IFERROR(INDEX('I2015'!J$5:J$73,MATCH($C70,'I2015'!$A$5:$A$73,0)),"")</f>
        <v/>
      </c>
      <c r="M70" s="22" t="str">
        <f>IFERROR(INDEX('I2015'!K$5:K$73,MATCH($C70,'I2015'!$A$5:$A$73,0)),"")</f>
        <v/>
      </c>
      <c r="N70" s="22" t="str">
        <f>IFERROR(INDEX('I2015'!L$5:L$73,MATCH($C70,'I2015'!$A$5:$A$73,0)),"")</f>
        <v/>
      </c>
      <c r="O70" s="22" t="str">
        <f>IFERROR(INDEX('I2015'!M$5:M$73,MATCH($C70,'I2015'!$A$5:$A$73,0)),"")</f>
        <v/>
      </c>
      <c r="P70" s="22" t="str">
        <f>IFERROR(INDEX('I2016'!B$5:B$90,MATCH($C70,'I2016'!$A$5:$A$90,0)),"")</f>
        <v/>
      </c>
      <c r="Q70" s="22" t="str">
        <f>IFERROR(INDEX('I2016'!C$5:C$90,MATCH($C70,'I2016'!$A$5:$A$90,0)),"")</f>
        <v/>
      </c>
      <c r="R70" s="22" t="str">
        <f>IFERROR(INDEX('I2016'!D$5:D$90,MATCH($C70,'I2016'!$A$5:$A$90,0)),"")</f>
        <v/>
      </c>
      <c r="S70" s="22" t="str">
        <f>IFERROR(INDEX('I2016'!E$5:E$90,MATCH($C70,'I2016'!$A$5:$A$90,0)),"")</f>
        <v/>
      </c>
      <c r="T70" s="22" t="str">
        <f>IFERROR(INDEX('I2016'!F$5:F$90,MATCH($C70,'I2016'!$A$5:$A$90,0)),"")</f>
        <v/>
      </c>
      <c r="U70" s="22" t="str">
        <f>IFERROR(INDEX('I2016'!G$5:G$90,MATCH($C70,'I2016'!$A$5:$A$90,0)),"")</f>
        <v/>
      </c>
      <c r="V70" s="22" t="str">
        <f>IFERROR(INDEX('I2016'!H$5:H$90,MATCH($C70,'I2016'!$A$5:$A$90,0)),"")</f>
        <v/>
      </c>
      <c r="W70" s="22" t="str">
        <f>IFERROR(INDEX('I2016'!I$5:I$90,MATCH($C70,'I2016'!$A$5:$A$90,0)),"")</f>
        <v/>
      </c>
      <c r="X70" s="22" t="str">
        <f>IFERROR(INDEX('I2016'!J$5:J$90,MATCH($C70,'I2016'!$A$5:$A$90,0)),"")</f>
        <v/>
      </c>
      <c r="Y70" s="22" t="str">
        <f>IFERROR(INDEX('I2016'!K$5:K$90,MATCH($C70,'I2016'!$A$5:$A$90,0)),"")</f>
        <v/>
      </c>
      <c r="Z70" s="22" t="str">
        <f>IFERROR(INDEX('I2016'!L$5:L$90,MATCH($C70,'I2016'!$A$5:$A$90,0)),"")</f>
        <v/>
      </c>
      <c r="AA70" s="22" t="str">
        <f>IFERROR(INDEX('I2016'!M$5:M$90,MATCH($C70,'I2016'!$A$5:$A$90,0)),"")</f>
        <v/>
      </c>
      <c r="AB70" s="22">
        <f>IFERROR(INDEX('I2017'!B$5:B$96,MATCH($C70,'I2017'!$A$5:$A$96,0)),"")</f>
        <v>0</v>
      </c>
      <c r="AC70" s="22">
        <f>IFERROR(INDEX('I2017'!C$5:C$96,MATCH($C70,'I2017'!$A$5:$A$96,0)),"")</f>
        <v>0</v>
      </c>
      <c r="AD70" s="22">
        <f>IFERROR(INDEX('I2017'!D$5:D$96,MATCH($C70,'I2017'!$A$5:$A$96,0)),"")</f>
        <v>0</v>
      </c>
      <c r="AE70" s="22">
        <f>IFERROR(INDEX('I2017'!E$5:E$96,MATCH($C70,'I2017'!$A$5:$A$96,0)),"")</f>
        <v>0</v>
      </c>
      <c r="AF70" s="22">
        <f>IFERROR(INDEX('I2017'!F$5:F$96,MATCH($C70,'I2017'!$A$5:$A$96,0)),"")</f>
        <v>0</v>
      </c>
      <c r="AG70" s="22">
        <f>IFERROR(INDEX('I2017'!G$5:G$96,MATCH($C70,'I2017'!$A$5:$A$96,0)),"")</f>
        <v>0</v>
      </c>
      <c r="AH70" s="22">
        <f>IFERROR(INDEX('I2017'!H$5:H$96,MATCH($C70,'I2017'!$A$5:$A$96,0)),"")</f>
        <v>0</v>
      </c>
      <c r="AI70" s="22">
        <f>IFERROR(INDEX('I2017'!I$5:I$96,MATCH($C70,'I2017'!$A$5:$A$96,0)),"")</f>
        <v>0</v>
      </c>
      <c r="AJ70" s="22">
        <f>IFERROR(INDEX('I2017'!J$5:J$96,MATCH($C70,'I2017'!$A$5:$A$96,0)),"")</f>
        <v>0</v>
      </c>
      <c r="AK70" s="22">
        <f>IFERROR(INDEX('I2017'!K$5:K$96,MATCH($C70,'I2017'!$A$5:$A$96,0)),"")</f>
        <v>0</v>
      </c>
      <c r="AL70" s="22">
        <f>IFERROR(INDEX('I2017'!L$5:L$96,MATCH($C70,'I2017'!$A$5:$A$96,0)),"")</f>
        <v>148.94</v>
      </c>
      <c r="AM70" s="22">
        <f>IFERROR(INDEX('I2017'!M$5:M$96,MATCH($C70,'I2017'!$A$5:$A$96,0)),"")</f>
        <v>39.18</v>
      </c>
      <c r="AN70" s="22">
        <f>IFERROR(INDEX('I2018'!B$5:B$107,MATCH($C70,'I2018'!$A$5:$A$107,0)),"")</f>
        <v>0</v>
      </c>
      <c r="AO70" s="22">
        <f>IFERROR(INDEX('I2018'!C$5:C$107,MATCH($C70,'I2018'!$A$5:$A$107,0)),"")</f>
        <v>8.4</v>
      </c>
      <c r="AP70" s="22">
        <f>IFERROR(INDEX('I2018'!D$5:D$107,MATCH($C70,'I2018'!$A$5:$A$107,0)),"")</f>
        <v>8.06</v>
      </c>
      <c r="AQ70" s="22">
        <f>IFERROR(INDEX('I2018'!E$5:E$107,MATCH($C70,'I2018'!$A$5:$A$107,0)),"")</f>
        <v>122</v>
      </c>
      <c r="AR70" s="22">
        <f>IFERROR(INDEX('I2018'!F$5:F$107,MATCH($C70,'I2018'!$A$5:$A$107,0)),"")</f>
        <v>35.229999999999997</v>
      </c>
      <c r="AS70" s="22">
        <f>IFERROR(INDEX('I2018'!G$5:G$107,MATCH($C70,'I2018'!$A$5:$A$107,0)),"")</f>
        <v>40.67</v>
      </c>
      <c r="AT70" s="22">
        <f>IFERROR(INDEX('I2018'!H$5:H$107,MATCH($C70,'I2018'!$A$5:$A$107,0)),"")</f>
        <v>16.739999999999998</v>
      </c>
      <c r="AU70" s="22">
        <f>IFERROR(INDEX('I2018'!I$5:I$107,MATCH($C70,'I2018'!$A$5:$A$107,0)),"")</f>
        <v>108.24</v>
      </c>
      <c r="AV70" s="22">
        <f>IFERROR(INDEX('I2018'!J$5:J$107,MATCH($C70,'I2018'!$A$5:$A$107,0)),"")</f>
        <v>40.909999999999997</v>
      </c>
      <c r="AW70" s="22">
        <f>IFERROR(INDEX('I2018'!K$5:K$107,MATCH($C70,'I2018'!$A$5:$A$107,0)),"")</f>
        <v>0</v>
      </c>
      <c r="AX70" s="22">
        <f>IFERROR(INDEX('I2018'!L$5:L$107,MATCH($C70,'I2018'!$A$5:$A$107,0)),"")</f>
        <v>0</v>
      </c>
      <c r="AY70" s="22">
        <f>IFERROR(INDEX('I2018'!M$5:M$107,MATCH($C70,'I2018'!$A$5:$A$107,0)),"")</f>
        <v>587.11</v>
      </c>
      <c r="AZ70" s="22" t="str">
        <f>IFERROR(INDEX('I2019'!B$5:B$112,MATCH($C70,'I2019'!$A$5:$A$112,0)),"")</f>
        <v/>
      </c>
      <c r="BA70" s="22" t="str">
        <f>IFERROR(INDEX('I2019'!C$5:C$112,MATCH($C70,'I2019'!$A$5:$A$112,0)),"")</f>
        <v/>
      </c>
      <c r="BB70" s="22" t="str">
        <f>IFERROR(INDEX('I2019'!D$5:D$112,MATCH($C70,'I2019'!$A$5:$A$112,0)),"")</f>
        <v/>
      </c>
      <c r="BC70" s="22" t="str">
        <f>IFERROR(INDEX('I2019'!E$5:E$112,MATCH($C70,'I2019'!$A$5:$A$112,0)),"")</f>
        <v/>
      </c>
      <c r="BD70" s="22" t="str">
        <f>IFERROR(INDEX('I2019'!F$5:F$112,MATCH($C70,'I2019'!$A$5:$A$112,0)),"")</f>
        <v/>
      </c>
      <c r="BE70" s="22" t="str">
        <f>IFERROR(INDEX('I2019'!G$5:G$112,MATCH($C70,'I2019'!$A$5:$A$112,0)),"")</f>
        <v/>
      </c>
      <c r="BF70" s="22" t="str">
        <f>IFERROR(INDEX('I2019'!H$5:H$112,MATCH($C70,'I2019'!$A$5:$A$112,0)),"")</f>
        <v/>
      </c>
      <c r="BG70" s="22" t="str">
        <f>IFERROR(INDEX('I2019'!I$5:I$112,MATCH($C70,'I2019'!$A$5:$A$112,0)),"")</f>
        <v/>
      </c>
      <c r="BH70" s="22" t="str">
        <f>IFERROR(INDEX('I2019'!J$5:J$112,MATCH($C70,'I2019'!$A$5:$A$112,0)),"")</f>
        <v/>
      </c>
      <c r="BI70" s="22" t="str">
        <f>IFERROR(INDEX('I2019'!K$5:K$112,MATCH($C70,'I2019'!$A$5:$A$112,0)),"")</f>
        <v/>
      </c>
      <c r="BJ70" s="22" t="str">
        <f>IFERROR(INDEX('I2019'!L$5:L$112,MATCH($C70,'I2019'!$A$5:$A$112,0)),"")</f>
        <v/>
      </c>
      <c r="BK70" s="22" t="str">
        <f>IFERROR(INDEX('I2019'!M$5:M$112,MATCH($C70,'I2019'!$A$5:$A$112,0)),"")</f>
        <v/>
      </c>
      <c r="BL70" s="22" t="str">
        <f>IFERROR(INDEX('I2020'!B$5:B$113,MATCH($C70,'I2020'!$A$5:$A$113,0)),"")</f>
        <v/>
      </c>
      <c r="BM70" s="22" t="str">
        <f>IFERROR(INDEX('I2020'!C$5:C$113,MATCH($C70,'I2020'!$A$5:$A$113,0)),"")</f>
        <v/>
      </c>
      <c r="BN70" s="22" t="str">
        <f>IFERROR(INDEX('I2020'!D$5:D$113,MATCH($C70,'I2020'!$A$5:$A$113,0)),"")</f>
        <v/>
      </c>
      <c r="BO70" s="22" t="str">
        <f>IFERROR(INDEX('I2020'!E$5:E$113,MATCH($C70,'I2020'!$A$5:$A$113,0)),"")</f>
        <v/>
      </c>
      <c r="BP70" s="22" t="str">
        <f>IFERROR(INDEX('I2020'!F$5:F$113,MATCH($C70,'I2020'!$A$5:$A$113,0)),"")</f>
        <v/>
      </c>
      <c r="BQ70" s="393" t="str">
        <f>IFERROR(INDEX('I2020'!G$5:G$113,MATCH($C70,'I2020'!$A$5:$A$113,0)),"")</f>
        <v/>
      </c>
      <c r="BR70" s="65"/>
      <c r="BS70" s="65"/>
      <c r="BT70" s="65"/>
      <c r="BU70" s="65"/>
      <c r="BV70" s="65"/>
      <c r="BW70" s="65"/>
      <c r="BX70" s="65"/>
      <c r="BY70" s="65"/>
      <c r="BZ70" s="65"/>
      <c r="CA70" s="65"/>
      <c r="CB70" s="65"/>
      <c r="CC70" s="65"/>
      <c r="CD70" s="65"/>
      <c r="CE70" s="65"/>
      <c r="CF70" s="65"/>
      <c r="CG70" s="65"/>
      <c r="CH70" s="65"/>
      <c r="CI70" s="125"/>
      <c r="CJ70" s="269"/>
    </row>
    <row r="71" spans="1:88" x14ac:dyDescent="0.3">
      <c r="A71" s="33" t="s">
        <v>254</v>
      </c>
      <c r="B71" s="63">
        <v>1E-4</v>
      </c>
      <c r="C71" s="26" t="s">
        <v>53</v>
      </c>
      <c r="D71" s="78" t="str">
        <f>IFERROR(INDEX('I2015'!B$5:B$73,MATCH($C71,'I2015'!$A$5:$A$73,0)),"")</f>
        <v/>
      </c>
      <c r="E71" s="78" t="str">
        <f>IFERROR(INDEX('I2015'!C$5:C$73,MATCH($C71,'I2015'!$A$5:$A$73,0)),"")</f>
        <v/>
      </c>
      <c r="F71" s="78" t="str">
        <f>IFERROR(INDEX('I2015'!D$5:D$73,MATCH($C71,'I2015'!$A$5:$A$73,0)),"")</f>
        <v/>
      </c>
      <c r="G71" s="78" t="str">
        <f>IFERROR(INDEX('I2015'!E$5:E$73,MATCH($C71,'I2015'!$A$5:$A$73,0)),"")</f>
        <v/>
      </c>
      <c r="H71" s="78" t="str">
        <f>IFERROR(INDEX('I2015'!F$5:F$73,MATCH($C71,'I2015'!$A$5:$A$73,0)),"")</f>
        <v/>
      </c>
      <c r="I71" s="78" t="str">
        <f>IFERROR(INDEX('I2015'!G$5:G$73,MATCH($C71,'I2015'!$A$5:$A$73,0)),"")</f>
        <v/>
      </c>
      <c r="J71" s="78" t="str">
        <f>IFERROR(INDEX('I2015'!H$5:H$73,MATCH($C71,'I2015'!$A$5:$A$73,0)),"")</f>
        <v/>
      </c>
      <c r="K71" s="78" t="str">
        <f>IFERROR(INDEX('I2015'!I$5:I$73,MATCH($C71,'I2015'!$A$5:$A$73,0)),"")</f>
        <v/>
      </c>
      <c r="L71" s="78" t="str">
        <f>IFERROR(INDEX('I2015'!J$5:J$73,MATCH($C71,'I2015'!$A$5:$A$73,0)),"")</f>
        <v/>
      </c>
      <c r="M71" s="78" t="str">
        <f>IFERROR(INDEX('I2015'!K$5:K$73,MATCH($C71,'I2015'!$A$5:$A$73,0)),"")</f>
        <v/>
      </c>
      <c r="N71" s="78" t="str">
        <f>IFERROR(INDEX('I2015'!L$5:L$73,MATCH($C71,'I2015'!$A$5:$A$73,0)),"")</f>
        <v/>
      </c>
      <c r="O71" s="78" t="str">
        <f>IFERROR(INDEX('I2015'!M$5:M$73,MATCH($C71,'I2015'!$A$5:$A$73,0)),"")</f>
        <v/>
      </c>
      <c r="P71" s="78" t="str">
        <f>IFERROR(INDEX('I2016'!B$5:B$90,MATCH($C71,'I2016'!$A$5:$A$90,0)),"")</f>
        <v/>
      </c>
      <c r="Q71" s="78" t="str">
        <f>IFERROR(INDEX('I2016'!C$5:C$90,MATCH($C71,'I2016'!$A$5:$A$90,0)),"")</f>
        <v/>
      </c>
      <c r="R71" s="78" t="str">
        <f>IFERROR(INDEX('I2016'!D$5:D$90,MATCH($C71,'I2016'!$A$5:$A$90,0)),"")</f>
        <v/>
      </c>
      <c r="S71" s="78" t="str">
        <f>IFERROR(INDEX('I2016'!E$5:E$90,MATCH($C71,'I2016'!$A$5:$A$90,0)),"")</f>
        <v/>
      </c>
      <c r="T71" s="78" t="str">
        <f>IFERROR(INDEX('I2016'!F$5:F$90,MATCH($C71,'I2016'!$A$5:$A$90,0)),"")</f>
        <v/>
      </c>
      <c r="U71" s="78" t="str">
        <f>IFERROR(INDEX('I2016'!G$5:G$90,MATCH($C71,'I2016'!$A$5:$A$90,0)),"")</f>
        <v/>
      </c>
      <c r="V71" s="78" t="str">
        <f>IFERROR(INDEX('I2016'!H$5:H$90,MATCH($C71,'I2016'!$A$5:$A$90,0)),"")</f>
        <v/>
      </c>
      <c r="W71" s="78" t="str">
        <f>IFERROR(INDEX('I2016'!I$5:I$90,MATCH($C71,'I2016'!$A$5:$A$90,0)),"")</f>
        <v/>
      </c>
      <c r="X71" s="78" t="str">
        <f>IFERROR(INDEX('I2016'!J$5:J$90,MATCH($C71,'I2016'!$A$5:$A$90,0)),"")</f>
        <v/>
      </c>
      <c r="Y71" s="78" t="str">
        <f>IFERROR(INDEX('I2016'!K$5:K$90,MATCH($C71,'I2016'!$A$5:$A$90,0)),"")</f>
        <v/>
      </c>
      <c r="Z71" s="78" t="str">
        <f>IFERROR(INDEX('I2016'!L$5:L$90,MATCH($C71,'I2016'!$A$5:$A$90,0)),"")</f>
        <v/>
      </c>
      <c r="AA71" s="78" t="str">
        <f>IFERROR(INDEX('I2016'!M$5:M$90,MATCH($C71,'I2016'!$A$5:$A$90,0)),"")</f>
        <v/>
      </c>
      <c r="AB71" s="78">
        <f>IFERROR(INDEX('I2017'!B$5:B$96,MATCH($C71,'I2017'!$A$5:$A$96,0)),"")</f>
        <v>0</v>
      </c>
      <c r="AC71" s="78">
        <f>IFERROR(INDEX('I2017'!C$5:C$96,MATCH($C71,'I2017'!$A$5:$A$96,0)),"")</f>
        <v>0</v>
      </c>
      <c r="AD71" s="78">
        <f>IFERROR(INDEX('I2017'!D$5:D$96,MATCH($C71,'I2017'!$A$5:$A$96,0)),"")</f>
        <v>130.28</v>
      </c>
      <c r="AE71" s="78">
        <f>IFERROR(INDEX('I2017'!E$5:E$96,MATCH($C71,'I2017'!$A$5:$A$96,0)),"")</f>
        <v>0</v>
      </c>
      <c r="AF71" s="78">
        <f>IFERROR(INDEX('I2017'!F$5:F$96,MATCH($C71,'I2017'!$A$5:$A$96,0)),"")</f>
        <v>200.57</v>
      </c>
      <c r="AG71" s="78">
        <f>IFERROR(INDEX('I2017'!G$5:G$96,MATCH($C71,'I2017'!$A$5:$A$96,0)),"")</f>
        <v>105</v>
      </c>
      <c r="AH71" s="78">
        <f>IFERROR(INDEX('I2017'!H$5:H$96,MATCH($C71,'I2017'!$A$5:$A$96,0)),"")</f>
        <v>0</v>
      </c>
      <c r="AI71" s="78">
        <f>IFERROR(INDEX('I2017'!I$5:I$96,MATCH($C71,'I2017'!$A$5:$A$96,0)),"")</f>
        <v>0</v>
      </c>
      <c r="AJ71" s="78">
        <f>IFERROR(INDEX('I2017'!J$5:J$96,MATCH($C71,'I2017'!$A$5:$A$96,0)),"")</f>
        <v>393.6</v>
      </c>
      <c r="AK71" s="78">
        <f>IFERROR(INDEX('I2017'!K$5:K$96,MATCH($C71,'I2017'!$A$5:$A$96,0)),"")</f>
        <v>33.69</v>
      </c>
      <c r="AL71" s="78">
        <f>IFERROR(INDEX('I2017'!L$5:L$96,MATCH($C71,'I2017'!$A$5:$A$96,0)),"")</f>
        <v>296.45</v>
      </c>
      <c r="AM71" s="78">
        <f>IFERROR(INDEX('I2017'!M$5:M$96,MATCH($C71,'I2017'!$A$5:$A$96,0)),"")</f>
        <v>55.81</v>
      </c>
      <c r="AN71" s="78">
        <f>IFERROR(INDEX('I2018'!B$5:B$107,MATCH($C71,'I2018'!$A$5:$A$107,0)),"")</f>
        <v>192.73</v>
      </c>
      <c r="AO71" s="78">
        <f>IFERROR(INDEX('I2018'!C$5:C$107,MATCH($C71,'I2018'!$A$5:$A$107,0)),"")</f>
        <v>52.75</v>
      </c>
      <c r="AP71" s="78">
        <f>IFERROR(INDEX('I2018'!D$5:D$107,MATCH($C71,'I2018'!$A$5:$A$107,0)),"")</f>
        <v>91.13</v>
      </c>
      <c r="AQ71" s="78">
        <f>IFERROR(INDEX('I2018'!E$5:E$107,MATCH($C71,'I2018'!$A$5:$A$107,0)),"")</f>
        <v>139.82</v>
      </c>
      <c r="AR71" s="78">
        <f>IFERROR(INDEX('I2018'!F$5:F$107,MATCH($C71,'I2018'!$A$5:$A$107,0)),"")</f>
        <v>43.64</v>
      </c>
      <c r="AS71" s="78">
        <f>IFERROR(INDEX('I2018'!G$5:G$107,MATCH($C71,'I2018'!$A$5:$A$107,0)),"")</f>
        <v>45.52</v>
      </c>
      <c r="AT71" s="78">
        <f>IFERROR(INDEX('I2018'!H$5:H$107,MATCH($C71,'I2018'!$A$5:$A$107,0)),"")</f>
        <v>60.870000000000005</v>
      </c>
      <c r="AU71" s="78">
        <f>IFERROR(INDEX('I2018'!I$5:I$107,MATCH($C71,'I2018'!$A$5:$A$107,0)),"")</f>
        <v>127.3</v>
      </c>
      <c r="AV71" s="78">
        <f>IFERROR(INDEX('I2018'!J$5:J$107,MATCH($C71,'I2018'!$A$5:$A$107,0)),"")</f>
        <v>1242.68</v>
      </c>
      <c r="AW71" s="78">
        <f>IFERROR(INDEX('I2018'!K$5:K$107,MATCH($C71,'I2018'!$A$5:$A$107,0)),"")</f>
        <v>2291.64</v>
      </c>
      <c r="AX71" s="78">
        <f>IFERROR(INDEX('I2018'!L$5:L$107,MATCH($C71,'I2018'!$A$5:$A$107,0)),"")</f>
        <v>0</v>
      </c>
      <c r="AY71" s="78">
        <f>IFERROR(INDEX('I2018'!M$5:M$107,MATCH($C71,'I2018'!$A$5:$A$107,0)),"")</f>
        <v>1002.1800000000001</v>
      </c>
      <c r="AZ71" s="78">
        <f>IFERROR(INDEX('I2019'!B$5:B$112,MATCH($C71,'I2019'!$A$5:$A$112,0)),"")</f>
        <v>506.8</v>
      </c>
      <c r="BA71" s="78">
        <f>IFERROR(INDEX('I2019'!C$5:C$112,MATCH($C71,'I2019'!$A$5:$A$112,0)),"")</f>
        <v>1245.6600000000001</v>
      </c>
      <c r="BB71" s="78">
        <f>IFERROR(INDEX('I2019'!D$5:D$112,MATCH($C71,'I2019'!$A$5:$A$112,0)),"")</f>
        <v>188.46</v>
      </c>
      <c r="BC71" s="78">
        <f>IFERROR(INDEX('I2019'!E$5:E$112,MATCH($C71,'I2019'!$A$5:$A$112,0)),"")</f>
        <v>203.75</v>
      </c>
      <c r="BD71" s="78">
        <f>IFERROR(INDEX('I2019'!F$5:F$112,MATCH($C71,'I2019'!$A$5:$A$112,0)),"")</f>
        <v>173.85</v>
      </c>
      <c r="BE71" s="78">
        <f>IFERROR(INDEX('I2019'!G$5:G$112,MATCH($C71,'I2019'!$A$5:$A$112,0)),"")</f>
        <v>113.79</v>
      </c>
      <c r="BF71" s="78">
        <f>IFERROR(INDEX('I2019'!H$5:H$112,MATCH($C71,'I2019'!$A$5:$A$112,0)),"")</f>
        <v>92.62</v>
      </c>
      <c r="BG71" s="78">
        <f>IFERROR(INDEX('I2019'!I$5:I$112,MATCH($C71,'I2019'!$A$5:$A$112,0)),"")</f>
        <v>122.6</v>
      </c>
      <c r="BH71" s="78">
        <f>IFERROR(INDEX('I2019'!J$5:J$112,MATCH($C71,'I2019'!$A$5:$A$112,0)),"")</f>
        <v>40.64</v>
      </c>
      <c r="BI71" s="78">
        <f>IFERROR(INDEX('I2019'!K$5:K$112,MATCH($C71,'I2019'!$A$5:$A$112,0)),"")</f>
        <v>25.85</v>
      </c>
      <c r="BJ71" s="78">
        <f>IFERROR(INDEX('I2019'!L$5:L$112,MATCH($C71,'I2019'!$A$5:$A$112,0)),"")</f>
        <v>430.5</v>
      </c>
      <c r="BK71" s="78">
        <f>IFERROR(INDEX('I2019'!M$5:M$112,MATCH($C71,'I2019'!$A$5:$A$112,0)),"")</f>
        <v>226.11</v>
      </c>
      <c r="BL71" s="78">
        <f>IFERROR(INDEX('I2020'!B$5:B$113,MATCH($C71,'I2020'!$A$5:$A$113,0)),"")</f>
        <v>237.87</v>
      </c>
      <c r="BM71" s="78">
        <f>IFERROR(INDEX('I2020'!C$5:C$113,MATCH($C71,'I2020'!$A$5:$A$113,0)),"")</f>
        <v>317.3</v>
      </c>
      <c r="BN71" s="78">
        <f>IFERROR(INDEX('I2020'!D$5:D$113,MATCH($C71,'I2020'!$A$5:$A$113,0)),"")</f>
        <v>363.57</v>
      </c>
      <c r="BO71" s="78">
        <f>IFERROR(INDEX('I2020'!E$5:E$113,MATCH($C71,'I2020'!$A$5:$A$113,0)),"")</f>
        <v>196.55</v>
      </c>
      <c r="BP71" s="78">
        <f>IFERROR(INDEX('I2020'!F$5:F$113,MATCH($C71,'I2020'!$A$5:$A$113,0)),"")</f>
        <v>41.62</v>
      </c>
      <c r="BQ71" s="398">
        <f>IFERROR(INDEX('I2020'!G$5:G$113,MATCH($C71,'I2020'!$A$5:$A$113,0)),"")</f>
        <v>1453.99</v>
      </c>
      <c r="BR71" s="153">
        <f t="shared" ref="BQ71:CI71" si="86">$B71*BR$31</f>
        <v>282.6590590968321</v>
      </c>
      <c r="BS71" s="153">
        <f t="shared" si="86"/>
        <v>286.62770032010758</v>
      </c>
      <c r="BT71" s="153">
        <f t="shared" si="86"/>
        <v>293.43264048128657</v>
      </c>
      <c r="BU71" s="153">
        <f t="shared" si="86"/>
        <v>302.72442142374172</v>
      </c>
      <c r="BV71" s="153">
        <f t="shared" si="86"/>
        <v>314.23654472002863</v>
      </c>
      <c r="BW71" s="153">
        <f t="shared" si="86"/>
        <v>327.76966381192022</v>
      </c>
      <c r="BX71" s="153">
        <f t="shared" si="86"/>
        <v>339.74186550597204</v>
      </c>
      <c r="BY71" s="153">
        <f t="shared" si="86"/>
        <v>350.48251887805992</v>
      </c>
      <c r="BZ71" s="153">
        <f t="shared" si="86"/>
        <v>360.25537697282959</v>
      </c>
      <c r="CA71" s="153">
        <f t="shared" si="86"/>
        <v>369.27170387670094</v>
      </c>
      <c r="CB71" s="153">
        <f t="shared" si="86"/>
        <v>377.70077643427464</v>
      </c>
      <c r="CC71" s="153">
        <f t="shared" si="86"/>
        <v>385.67828568032724</v>
      </c>
      <c r="CD71" s="153">
        <f t="shared" si="86"/>
        <v>393.3130580451629</v>
      </c>
      <c r="CE71" s="153">
        <f t="shared" si="86"/>
        <v>400.69243237954504</v>
      </c>
      <c r="CF71" s="153">
        <f t="shared" si="86"/>
        <v>407.88656163620192</v>
      </c>
      <c r="CG71" s="153">
        <f t="shared" si="86"/>
        <v>414.95185427751585</v>
      </c>
      <c r="CH71" s="153">
        <f t="shared" si="86"/>
        <v>421.93372746509527</v>
      </c>
      <c r="CI71" s="154">
        <f t="shared" si="86"/>
        <v>428.86880967580521</v>
      </c>
      <c r="CJ71" s="139"/>
    </row>
    <row r="72" spans="1:88" x14ac:dyDescent="0.3">
      <c r="A72" s="33"/>
      <c r="B72" s="68"/>
      <c r="C72" s="21" t="s">
        <v>54</v>
      </c>
      <c r="D72" s="102">
        <f>IFERROR(INDEX('I2015'!B$5:B$73,MATCH($C72,'I2015'!$A$5:$A$73,0)),"")</f>
        <v>395.76</v>
      </c>
      <c r="E72" s="102">
        <f>IFERROR(INDEX('I2015'!C$5:C$73,MATCH($C72,'I2015'!$A$5:$A$73,0)),"")</f>
        <v>272.42</v>
      </c>
      <c r="F72" s="102">
        <f>IFERROR(INDEX('I2015'!D$5:D$73,MATCH($C72,'I2015'!$A$5:$A$73,0)),"")</f>
        <v>905.22</v>
      </c>
      <c r="G72" s="102">
        <f>IFERROR(INDEX('I2015'!E$5:E$73,MATCH($C72,'I2015'!$A$5:$A$73,0)),"")</f>
        <v>393.85</v>
      </c>
      <c r="H72" s="102">
        <f>IFERROR(INDEX('I2015'!F$5:F$73,MATCH($C72,'I2015'!$A$5:$A$73,0)),"")</f>
        <v>218.85</v>
      </c>
      <c r="I72" s="102">
        <f>IFERROR(INDEX('I2015'!G$5:G$73,MATCH($C72,'I2015'!$A$5:$A$73,0)),"")</f>
        <v>132.65</v>
      </c>
      <c r="J72" s="102">
        <f>IFERROR(INDEX('I2015'!H$5:H$73,MATCH($C72,'I2015'!$A$5:$A$73,0)),"")</f>
        <v>340.61</v>
      </c>
      <c r="K72" s="102">
        <f>IFERROR(INDEX('I2015'!I$5:I$73,MATCH($C72,'I2015'!$A$5:$A$73,0)),"")</f>
        <v>35.18</v>
      </c>
      <c r="L72" s="102">
        <f>IFERROR(INDEX('I2015'!J$5:J$73,MATCH($C72,'I2015'!$A$5:$A$73,0)),"")</f>
        <v>0</v>
      </c>
      <c r="M72" s="102">
        <f>IFERROR(INDEX('I2015'!K$5:K$73,MATCH($C72,'I2015'!$A$5:$A$73,0)),"")</f>
        <v>567</v>
      </c>
      <c r="N72" s="102">
        <f>IFERROR(INDEX('I2015'!L$5:L$73,MATCH($C72,'I2015'!$A$5:$A$73,0)),"")</f>
        <v>447</v>
      </c>
      <c r="O72" s="102">
        <f>IFERROR(INDEX('I2015'!M$5:M$73,MATCH($C72,'I2015'!$A$5:$A$73,0)),"")</f>
        <v>247</v>
      </c>
      <c r="P72" s="102">
        <f>IFERROR(INDEX('I2016'!B$5:B$90,MATCH($C72,'I2016'!$A$5:$A$90,0)),"")</f>
        <v>0</v>
      </c>
      <c r="Q72" s="102">
        <f>IFERROR(INDEX('I2016'!C$5:C$90,MATCH($C72,'I2016'!$A$5:$A$90,0)),"")</f>
        <v>0</v>
      </c>
      <c r="R72" s="102">
        <f>IFERROR(INDEX('I2016'!D$5:D$90,MATCH($C72,'I2016'!$A$5:$A$90,0)),"")</f>
        <v>0</v>
      </c>
      <c r="S72" s="102">
        <f>IFERROR(INDEX('I2016'!E$5:E$90,MATCH($C72,'I2016'!$A$5:$A$90,0)),"")</f>
        <v>0</v>
      </c>
      <c r="T72" s="102">
        <f>IFERROR(INDEX('I2016'!F$5:F$90,MATCH($C72,'I2016'!$A$5:$A$90,0)),"")</f>
        <v>0</v>
      </c>
      <c r="U72" s="102">
        <f>IFERROR(INDEX('I2016'!G$5:G$90,MATCH($C72,'I2016'!$A$5:$A$90,0)),"")</f>
        <v>0</v>
      </c>
      <c r="V72" s="102">
        <f>IFERROR(INDEX('I2016'!H$5:H$90,MATCH($C72,'I2016'!$A$5:$A$90,0)),"")</f>
        <v>0</v>
      </c>
      <c r="W72" s="102">
        <f>IFERROR(INDEX('I2016'!I$5:I$90,MATCH($C72,'I2016'!$A$5:$A$90,0)),"")</f>
        <v>0</v>
      </c>
      <c r="X72" s="102">
        <f>IFERROR(INDEX('I2016'!J$5:J$90,MATCH($C72,'I2016'!$A$5:$A$90,0)),"")</f>
        <v>0</v>
      </c>
      <c r="Y72" s="102">
        <f>IFERROR(INDEX('I2016'!K$5:K$90,MATCH($C72,'I2016'!$A$5:$A$90,0)),"")</f>
        <v>0</v>
      </c>
      <c r="Z72" s="102">
        <f>IFERROR(INDEX('I2016'!L$5:L$90,MATCH($C72,'I2016'!$A$5:$A$90,0)),"")</f>
        <v>0</v>
      </c>
      <c r="AA72" s="102">
        <f>IFERROR(INDEX('I2016'!M$5:M$90,MATCH($C72,'I2016'!$A$5:$A$90,0)),"")</f>
        <v>0</v>
      </c>
      <c r="AB72" s="102">
        <f>IFERROR(INDEX('I2017'!B$5:B$96,MATCH($C72,'I2017'!$A$5:$A$96,0)),"")</f>
        <v>0</v>
      </c>
      <c r="AC72" s="102">
        <f>IFERROR(INDEX('I2017'!C$5:C$96,MATCH($C72,'I2017'!$A$5:$A$96,0)),"")</f>
        <v>0</v>
      </c>
      <c r="AD72" s="102">
        <f>IFERROR(INDEX('I2017'!D$5:D$96,MATCH($C72,'I2017'!$A$5:$A$96,0)),"")</f>
        <v>0</v>
      </c>
      <c r="AE72" s="102">
        <f>IFERROR(INDEX('I2017'!E$5:E$96,MATCH($C72,'I2017'!$A$5:$A$96,0)),"")</f>
        <v>0</v>
      </c>
      <c r="AF72" s="102">
        <f>IFERROR(INDEX('I2017'!F$5:F$96,MATCH($C72,'I2017'!$A$5:$A$96,0)),"")</f>
        <v>0</v>
      </c>
      <c r="AG72" s="102">
        <f>IFERROR(INDEX('I2017'!G$5:G$96,MATCH($C72,'I2017'!$A$5:$A$96,0)),"")</f>
        <v>0</v>
      </c>
      <c r="AH72" s="102">
        <f>IFERROR(INDEX('I2017'!H$5:H$96,MATCH($C72,'I2017'!$A$5:$A$96,0)),"")</f>
        <v>0</v>
      </c>
      <c r="AI72" s="102">
        <f>IFERROR(INDEX('I2017'!I$5:I$96,MATCH($C72,'I2017'!$A$5:$A$96,0)),"")</f>
        <v>0</v>
      </c>
      <c r="AJ72" s="102">
        <f>IFERROR(INDEX('I2017'!J$5:J$96,MATCH($C72,'I2017'!$A$5:$A$96,0)),"")</f>
        <v>0</v>
      </c>
      <c r="AK72" s="102">
        <f>IFERROR(INDEX('I2017'!K$5:K$96,MATCH($C72,'I2017'!$A$5:$A$96,0)),"")</f>
        <v>0</v>
      </c>
      <c r="AL72" s="102">
        <f>IFERROR(INDEX('I2017'!L$5:L$96,MATCH($C72,'I2017'!$A$5:$A$96,0)),"")</f>
        <v>0</v>
      </c>
      <c r="AM72" s="102">
        <f>IFERROR(INDEX('I2017'!M$5:M$96,MATCH($C72,'I2017'!$A$5:$A$96,0)),"")</f>
        <v>0</v>
      </c>
      <c r="AN72" s="102">
        <f>IFERROR(INDEX('I2018'!B$5:B$107,MATCH($C72,'I2018'!$A$5:$A$107,0)),"")</f>
        <v>0</v>
      </c>
      <c r="AO72" s="102">
        <f>IFERROR(INDEX('I2018'!C$5:C$107,MATCH($C72,'I2018'!$A$5:$A$107,0)),"")</f>
        <v>0</v>
      </c>
      <c r="AP72" s="102">
        <f>IFERROR(INDEX('I2018'!D$5:D$107,MATCH($C72,'I2018'!$A$5:$A$107,0)),"")</f>
        <v>0</v>
      </c>
      <c r="AQ72" s="102">
        <f>IFERROR(INDEX('I2018'!E$5:E$107,MATCH($C72,'I2018'!$A$5:$A$107,0)),"")</f>
        <v>0</v>
      </c>
      <c r="AR72" s="102">
        <f>IFERROR(INDEX('I2018'!F$5:F$107,MATCH($C72,'I2018'!$A$5:$A$107,0)),"")</f>
        <v>0</v>
      </c>
      <c r="AS72" s="102">
        <f>IFERROR(INDEX('I2018'!G$5:G$107,MATCH($C72,'I2018'!$A$5:$A$107,0)),"")</f>
        <v>0</v>
      </c>
      <c r="AT72" s="102">
        <f>IFERROR(INDEX('I2018'!H$5:H$107,MATCH($C72,'I2018'!$A$5:$A$107,0)),"")</f>
        <v>0</v>
      </c>
      <c r="AU72" s="102">
        <f>IFERROR(INDEX('I2018'!I$5:I$107,MATCH($C72,'I2018'!$A$5:$A$107,0)),"")</f>
        <v>2500</v>
      </c>
      <c r="AV72" s="102">
        <f>IFERROR(INDEX('I2018'!J$5:J$107,MATCH($C72,'I2018'!$A$5:$A$107,0)),"")</f>
        <v>0</v>
      </c>
      <c r="AW72" s="102">
        <f>IFERROR(INDEX('I2018'!K$5:K$107,MATCH($C72,'I2018'!$A$5:$A$107,0)),"")</f>
        <v>0</v>
      </c>
      <c r="AX72" s="102">
        <f>IFERROR(INDEX('I2018'!L$5:L$107,MATCH($C72,'I2018'!$A$5:$A$107,0)),"")</f>
        <v>0</v>
      </c>
      <c r="AY72" s="102">
        <f>IFERROR(INDEX('I2018'!M$5:M$107,MATCH($C72,'I2018'!$A$5:$A$107,0)),"")</f>
        <v>0</v>
      </c>
      <c r="AZ72" s="102">
        <f>IFERROR(INDEX('I2019'!B$5:B$112,MATCH($C72,'I2019'!$A$5:$A$112,0)),"")</f>
        <v>0</v>
      </c>
      <c r="BA72" s="102">
        <f>IFERROR(INDEX('I2019'!C$5:C$112,MATCH($C72,'I2019'!$A$5:$A$112,0)),"")</f>
        <v>0</v>
      </c>
      <c r="BB72" s="102">
        <f>IFERROR(INDEX('I2019'!D$5:D$112,MATCH($C72,'I2019'!$A$5:$A$112,0)),"")</f>
        <v>0</v>
      </c>
      <c r="BC72" s="102">
        <f>IFERROR(INDEX('I2019'!E$5:E$112,MATCH($C72,'I2019'!$A$5:$A$112,0)),"")</f>
        <v>0</v>
      </c>
      <c r="BD72" s="102">
        <f>IFERROR(INDEX('I2019'!F$5:F$112,MATCH($C72,'I2019'!$A$5:$A$112,0)),"")</f>
        <v>0</v>
      </c>
      <c r="BE72" s="102">
        <f>IFERROR(INDEX('I2019'!G$5:G$112,MATCH($C72,'I2019'!$A$5:$A$112,0)),"")</f>
        <v>0</v>
      </c>
      <c r="BF72" s="102">
        <f>IFERROR(INDEX('I2019'!H$5:H$112,MATCH($C72,'I2019'!$A$5:$A$112,0)),"")</f>
        <v>0</v>
      </c>
      <c r="BG72" s="102">
        <f>IFERROR(INDEX('I2019'!I$5:I$112,MATCH($C72,'I2019'!$A$5:$A$112,0)),"")</f>
        <v>0</v>
      </c>
      <c r="BH72" s="102">
        <f>IFERROR(INDEX('I2019'!J$5:J$112,MATCH($C72,'I2019'!$A$5:$A$112,0)),"")</f>
        <v>0</v>
      </c>
      <c r="BI72" s="102">
        <f>IFERROR(INDEX('I2019'!K$5:K$112,MATCH($C72,'I2019'!$A$5:$A$112,0)),"")</f>
        <v>0</v>
      </c>
      <c r="BJ72" s="102">
        <f>IFERROR(INDEX('I2019'!L$5:L$112,MATCH($C72,'I2019'!$A$5:$A$112,0)),"")</f>
        <v>0</v>
      </c>
      <c r="BK72" s="102">
        <f>IFERROR(INDEX('I2019'!M$5:M$112,MATCH($C72,'I2019'!$A$5:$A$112,0)),"")</f>
        <v>4725</v>
      </c>
      <c r="BL72" s="102">
        <f>IFERROR(INDEX('I2020'!B$5:B$113,MATCH($C72,'I2020'!$A$5:$A$113,0)),"")</f>
        <v>0</v>
      </c>
      <c r="BM72" s="102">
        <f>IFERROR(INDEX('I2020'!C$5:C$113,MATCH($C72,'I2020'!$A$5:$A$113,0)),"")</f>
        <v>0</v>
      </c>
      <c r="BN72" s="102">
        <f>IFERROR(INDEX('I2020'!D$5:D$113,MATCH($C72,'I2020'!$A$5:$A$113,0)),"")</f>
        <v>0</v>
      </c>
      <c r="BO72" s="102">
        <f>IFERROR(INDEX('I2020'!E$5:E$113,MATCH($C72,'I2020'!$A$5:$A$113,0)),"")</f>
        <v>0</v>
      </c>
      <c r="BP72" s="102">
        <f>IFERROR(INDEX('I2020'!F$5:F$113,MATCH($C72,'I2020'!$A$5:$A$113,0)),"")</f>
        <v>0</v>
      </c>
      <c r="BQ72" s="392">
        <f>IFERROR(INDEX('I2020'!G$5:G$113,MATCH($C72,'I2020'!$A$5:$A$113,0)),"")</f>
        <v>0</v>
      </c>
      <c r="BR72" s="64"/>
      <c r="BS72" s="64"/>
      <c r="BT72" s="64"/>
      <c r="BU72" s="64"/>
      <c r="BV72" s="64"/>
      <c r="BW72" s="64"/>
      <c r="BX72" s="64"/>
      <c r="BY72" s="64"/>
      <c r="BZ72" s="64"/>
      <c r="CA72" s="64"/>
      <c r="CB72" s="64"/>
      <c r="CC72" s="64"/>
      <c r="CD72" s="64"/>
      <c r="CE72" s="64"/>
      <c r="CF72" s="64"/>
      <c r="CG72" s="64"/>
      <c r="CH72" s="64"/>
      <c r="CI72" s="124"/>
      <c r="CJ72" s="134"/>
    </row>
    <row r="73" spans="1:88" x14ac:dyDescent="0.3">
      <c r="A73" s="33"/>
      <c r="B73" s="68"/>
      <c r="C73" s="21" t="s">
        <v>55</v>
      </c>
      <c r="D73" s="102" t="str">
        <f>IFERROR(INDEX('I2015'!B$5:B$73,MATCH($C73,'I2015'!$A$5:$A$73,0)),"")</f>
        <v/>
      </c>
      <c r="E73" s="102" t="str">
        <f>IFERROR(INDEX('I2015'!C$5:C$73,MATCH($C73,'I2015'!$A$5:$A$73,0)),"")</f>
        <v/>
      </c>
      <c r="F73" s="102" t="str">
        <f>IFERROR(INDEX('I2015'!D$5:D$73,MATCH($C73,'I2015'!$A$5:$A$73,0)),"")</f>
        <v/>
      </c>
      <c r="G73" s="102" t="str">
        <f>IFERROR(INDEX('I2015'!E$5:E$73,MATCH($C73,'I2015'!$A$5:$A$73,0)),"")</f>
        <v/>
      </c>
      <c r="H73" s="102" t="str">
        <f>IFERROR(INDEX('I2015'!F$5:F$73,MATCH($C73,'I2015'!$A$5:$A$73,0)),"")</f>
        <v/>
      </c>
      <c r="I73" s="102" t="str">
        <f>IFERROR(INDEX('I2015'!G$5:G$73,MATCH($C73,'I2015'!$A$5:$A$73,0)),"")</f>
        <v/>
      </c>
      <c r="J73" s="102" t="str">
        <f>IFERROR(INDEX('I2015'!H$5:H$73,MATCH($C73,'I2015'!$A$5:$A$73,0)),"")</f>
        <v/>
      </c>
      <c r="K73" s="102" t="str">
        <f>IFERROR(INDEX('I2015'!I$5:I$73,MATCH($C73,'I2015'!$A$5:$A$73,0)),"")</f>
        <v/>
      </c>
      <c r="L73" s="102" t="str">
        <f>IFERROR(INDEX('I2015'!J$5:J$73,MATCH($C73,'I2015'!$A$5:$A$73,0)),"")</f>
        <v/>
      </c>
      <c r="M73" s="102" t="str">
        <f>IFERROR(INDEX('I2015'!K$5:K$73,MATCH($C73,'I2015'!$A$5:$A$73,0)),"")</f>
        <v/>
      </c>
      <c r="N73" s="102" t="str">
        <f>IFERROR(INDEX('I2015'!L$5:L$73,MATCH($C73,'I2015'!$A$5:$A$73,0)),"")</f>
        <v/>
      </c>
      <c r="O73" s="102" t="str">
        <f>IFERROR(INDEX('I2015'!M$5:M$73,MATCH($C73,'I2015'!$A$5:$A$73,0)),"")</f>
        <v/>
      </c>
      <c r="P73" s="102">
        <f>IFERROR(INDEX('I2016'!B$5:B$90,MATCH($C73,'I2016'!$A$5:$A$90,0)),"")</f>
        <v>0</v>
      </c>
      <c r="Q73" s="102">
        <f>IFERROR(INDEX('I2016'!C$5:C$90,MATCH($C73,'I2016'!$A$5:$A$90,0)),"")</f>
        <v>0</v>
      </c>
      <c r="R73" s="102">
        <f>IFERROR(INDEX('I2016'!D$5:D$90,MATCH($C73,'I2016'!$A$5:$A$90,0)),"")</f>
        <v>0</v>
      </c>
      <c r="S73" s="102">
        <f>IFERROR(INDEX('I2016'!E$5:E$90,MATCH($C73,'I2016'!$A$5:$A$90,0)),"")</f>
        <v>0</v>
      </c>
      <c r="T73" s="102">
        <f>IFERROR(INDEX('I2016'!F$5:F$90,MATCH($C73,'I2016'!$A$5:$A$90,0)),"")</f>
        <v>0</v>
      </c>
      <c r="U73" s="102">
        <f>IFERROR(INDEX('I2016'!G$5:G$90,MATCH($C73,'I2016'!$A$5:$A$90,0)),"")</f>
        <v>0</v>
      </c>
      <c r="V73" s="102">
        <f>IFERROR(INDEX('I2016'!H$5:H$90,MATCH($C73,'I2016'!$A$5:$A$90,0)),"")</f>
        <v>0</v>
      </c>
      <c r="W73" s="102">
        <f>IFERROR(INDEX('I2016'!I$5:I$90,MATCH($C73,'I2016'!$A$5:$A$90,0)),"")</f>
        <v>0</v>
      </c>
      <c r="X73" s="102">
        <f>IFERROR(INDEX('I2016'!J$5:J$90,MATCH($C73,'I2016'!$A$5:$A$90,0)),"")</f>
        <v>3000</v>
      </c>
      <c r="Y73" s="102">
        <f>IFERROR(INDEX('I2016'!K$5:K$90,MATCH($C73,'I2016'!$A$5:$A$90,0)),"")</f>
        <v>0</v>
      </c>
      <c r="Z73" s="102">
        <f>IFERROR(INDEX('I2016'!L$5:L$90,MATCH($C73,'I2016'!$A$5:$A$90,0)),"")</f>
        <v>0</v>
      </c>
      <c r="AA73" s="102">
        <f>IFERROR(INDEX('I2016'!M$5:M$90,MATCH($C73,'I2016'!$A$5:$A$90,0)),"")</f>
        <v>0</v>
      </c>
      <c r="AB73" s="102">
        <f>IFERROR(INDEX('I2017'!B$5:B$96,MATCH($C73,'I2017'!$A$5:$A$96,0)),"")</f>
        <v>350</v>
      </c>
      <c r="AC73" s="102">
        <f>IFERROR(INDEX('I2017'!C$5:C$96,MATCH($C73,'I2017'!$A$5:$A$96,0)),"")</f>
        <v>54</v>
      </c>
      <c r="AD73" s="102">
        <f>IFERROR(INDEX('I2017'!D$5:D$96,MATCH($C73,'I2017'!$A$5:$A$96,0)),"")</f>
        <v>54</v>
      </c>
      <c r="AE73" s="102">
        <f>IFERROR(INDEX('I2017'!E$5:E$96,MATCH($C73,'I2017'!$A$5:$A$96,0)),"")</f>
        <v>3927.5</v>
      </c>
      <c r="AF73" s="102">
        <f>IFERROR(INDEX('I2017'!F$5:F$96,MATCH($C73,'I2017'!$A$5:$A$96,0)),"")</f>
        <v>0</v>
      </c>
      <c r="AG73" s="102">
        <f>IFERROR(INDEX('I2017'!G$5:G$96,MATCH($C73,'I2017'!$A$5:$A$96,0)),"")</f>
        <v>1091.5</v>
      </c>
      <c r="AH73" s="102">
        <f>IFERROR(INDEX('I2017'!H$5:H$96,MATCH($C73,'I2017'!$A$5:$A$96,0)),"")</f>
        <v>1628.5</v>
      </c>
      <c r="AI73" s="102">
        <f>IFERROR(INDEX('I2017'!I$5:I$96,MATCH($C73,'I2017'!$A$5:$A$96,0)),"")</f>
        <v>1994</v>
      </c>
      <c r="AJ73" s="102">
        <f>IFERROR(INDEX('I2017'!J$5:J$96,MATCH($C73,'I2017'!$A$5:$A$96,0)),"")</f>
        <v>188.79</v>
      </c>
      <c r="AK73" s="102">
        <f>IFERROR(INDEX('I2017'!K$5:K$96,MATCH($C73,'I2017'!$A$5:$A$96,0)),"")</f>
        <v>54</v>
      </c>
      <c r="AL73" s="102">
        <f>IFERROR(INDEX('I2017'!L$5:L$96,MATCH($C73,'I2017'!$A$5:$A$96,0)),"")</f>
        <v>54</v>
      </c>
      <c r="AM73" s="102">
        <f>IFERROR(INDEX('I2017'!M$5:M$96,MATCH($C73,'I2017'!$A$5:$A$96,0)),"")</f>
        <v>149</v>
      </c>
      <c r="AN73" s="102">
        <f>IFERROR(INDEX('I2018'!B$5:B$107,MATCH($C73,'I2018'!$A$5:$A$107,0)),"")</f>
        <v>54</v>
      </c>
      <c r="AO73" s="102">
        <f>IFERROR(INDEX('I2018'!C$5:C$107,MATCH($C73,'I2018'!$A$5:$A$107,0)),"")</f>
        <v>1027.96</v>
      </c>
      <c r="AP73" s="102">
        <f>IFERROR(INDEX('I2018'!D$5:D$107,MATCH($C73,'I2018'!$A$5:$A$107,0)),"")</f>
        <v>504</v>
      </c>
      <c r="AQ73" s="102">
        <f>IFERROR(INDEX('I2018'!E$5:E$107,MATCH($C73,'I2018'!$A$5:$A$107,0)),"")</f>
        <v>1264</v>
      </c>
      <c r="AR73" s="102">
        <f>IFERROR(INDEX('I2018'!F$5:F$107,MATCH($C73,'I2018'!$A$5:$A$107,0)),"")</f>
        <v>479</v>
      </c>
      <c r="AS73" s="102">
        <f>IFERROR(INDEX('I2018'!G$5:G$107,MATCH($C73,'I2018'!$A$5:$A$107,0)),"")</f>
        <v>653.4</v>
      </c>
      <c r="AT73" s="102">
        <f>IFERROR(INDEX('I2018'!H$5:H$107,MATCH($C73,'I2018'!$A$5:$A$107,0)),"")</f>
        <v>54</v>
      </c>
      <c r="AU73" s="102">
        <f>IFERROR(INDEX('I2018'!I$5:I$107,MATCH($C73,'I2018'!$A$5:$A$107,0)),"")</f>
        <v>0</v>
      </c>
      <c r="AV73" s="102">
        <f>IFERROR(INDEX('I2018'!J$5:J$107,MATCH($C73,'I2018'!$A$5:$A$107,0)),"")</f>
        <v>54</v>
      </c>
      <c r="AW73" s="102">
        <f>IFERROR(INDEX('I2018'!K$5:K$107,MATCH($C73,'I2018'!$A$5:$A$107,0)),"")</f>
        <v>3038.65</v>
      </c>
      <c r="AX73" s="102">
        <f>IFERROR(INDEX('I2018'!L$5:L$107,MATCH($C73,'I2018'!$A$5:$A$107,0)),"")</f>
        <v>4162.7</v>
      </c>
      <c r="AY73" s="102">
        <f>IFERROR(INDEX('I2018'!M$5:M$107,MATCH($C73,'I2018'!$A$5:$A$107,0)),"")</f>
        <v>4204.66</v>
      </c>
      <c r="AZ73" s="102">
        <f>IFERROR(INDEX('I2019'!B$5:B$112,MATCH($C73,'I2019'!$A$5:$A$112,0)),"")</f>
        <v>3889.13</v>
      </c>
      <c r="BA73" s="102">
        <f>IFERROR(INDEX('I2019'!C$5:C$112,MATCH($C73,'I2019'!$A$5:$A$112,0)),"")</f>
        <v>4937.5</v>
      </c>
      <c r="BB73" s="102">
        <f>IFERROR(INDEX('I2019'!D$5:D$112,MATCH($C73,'I2019'!$A$5:$A$112,0)),"")</f>
        <v>4617.45</v>
      </c>
      <c r="BC73" s="102">
        <f>IFERROR(INDEX('I2019'!E$5:E$112,MATCH($C73,'I2019'!$A$5:$A$112,0)),"")</f>
        <v>5247.5</v>
      </c>
      <c r="BD73" s="102">
        <f>IFERROR(INDEX('I2019'!F$5:F$112,MATCH($C73,'I2019'!$A$5:$A$112,0)),"")</f>
        <v>5486</v>
      </c>
      <c r="BE73" s="102">
        <f>IFERROR(INDEX('I2019'!G$5:G$112,MATCH($C73,'I2019'!$A$5:$A$112,0)),"")</f>
        <v>4813</v>
      </c>
      <c r="BF73" s="102">
        <f>IFERROR(INDEX('I2019'!H$5:H$112,MATCH($C73,'I2019'!$A$5:$A$112,0)),"")</f>
        <v>5598</v>
      </c>
      <c r="BG73" s="102">
        <f>IFERROR(INDEX('I2019'!I$5:I$112,MATCH($C73,'I2019'!$A$5:$A$112,0)),"")</f>
        <v>4550.5</v>
      </c>
      <c r="BH73" s="102">
        <f>IFERROR(INDEX('I2019'!J$5:J$112,MATCH($C73,'I2019'!$A$5:$A$112,0)),"")</f>
        <v>4883.5</v>
      </c>
      <c r="BI73" s="102">
        <f>IFERROR(INDEX('I2019'!K$5:K$112,MATCH($C73,'I2019'!$A$5:$A$112,0)),"")</f>
        <v>5146.95</v>
      </c>
      <c r="BJ73" s="102">
        <f>IFERROR(INDEX('I2019'!L$5:L$112,MATCH($C73,'I2019'!$A$5:$A$112,0)),"")</f>
        <v>8050.15</v>
      </c>
      <c r="BK73" s="102">
        <f>IFERROR(INDEX('I2019'!M$5:M$112,MATCH($C73,'I2019'!$A$5:$A$112,0)),"")</f>
        <v>4748.3</v>
      </c>
      <c r="BL73" s="102">
        <f>IFERROR(INDEX('I2020'!B$5:B$113,MATCH($C73,'I2020'!$A$5:$A$113,0)),"")</f>
        <v>4748.3</v>
      </c>
      <c r="BM73" s="102">
        <f>IFERROR(INDEX('I2020'!C$5:C$113,MATCH($C73,'I2020'!$A$5:$A$113,0)),"")</f>
        <v>10215</v>
      </c>
      <c r="BN73" s="102">
        <f>IFERROR(INDEX('I2020'!D$5:D$113,MATCH($C73,'I2020'!$A$5:$A$113,0)),"")</f>
        <v>4836.3</v>
      </c>
      <c r="BO73" s="102">
        <f>IFERROR(INDEX('I2020'!E$5:E$113,MATCH($C73,'I2020'!$A$5:$A$113,0)),"")</f>
        <v>8032.8</v>
      </c>
      <c r="BP73" s="102">
        <f>IFERROR(INDEX('I2020'!F$5:F$113,MATCH($C73,'I2020'!$A$5:$A$113,0)),"")</f>
        <v>5721.47</v>
      </c>
      <c r="BQ73" s="392">
        <f>IFERROR(INDEX('I2020'!G$5:G$113,MATCH($C73,'I2020'!$A$5:$A$113,0)),"")</f>
        <v>5548</v>
      </c>
      <c r="BR73" s="64"/>
      <c r="BS73" s="64"/>
      <c r="BT73" s="64"/>
      <c r="BU73" s="64"/>
      <c r="BV73" s="64"/>
      <c r="BW73" s="64"/>
      <c r="BX73" s="64"/>
      <c r="BY73" s="64"/>
      <c r="BZ73" s="64"/>
      <c r="CA73" s="64"/>
      <c r="CB73" s="64"/>
      <c r="CC73" s="64"/>
      <c r="CD73" s="64"/>
      <c r="CE73" s="64"/>
      <c r="CF73" s="64"/>
      <c r="CG73" s="64"/>
      <c r="CH73" s="64"/>
      <c r="CI73" s="124"/>
      <c r="CJ73" s="134"/>
    </row>
    <row r="74" spans="1:88" x14ac:dyDescent="0.3">
      <c r="A74" s="33"/>
      <c r="B74" s="68"/>
      <c r="C74" s="21" t="s">
        <v>56</v>
      </c>
      <c r="D74" s="102" t="str">
        <f>IFERROR(INDEX('I2015'!B$5:B$73,MATCH($C74,'I2015'!$A$5:$A$73,0)),"")</f>
        <v/>
      </c>
      <c r="E74" s="102" t="str">
        <f>IFERROR(INDEX('I2015'!C$5:C$73,MATCH($C74,'I2015'!$A$5:$A$73,0)),"")</f>
        <v/>
      </c>
      <c r="F74" s="102" t="str">
        <f>IFERROR(INDEX('I2015'!D$5:D$73,MATCH($C74,'I2015'!$A$5:$A$73,0)),"")</f>
        <v/>
      </c>
      <c r="G74" s="102" t="str">
        <f>IFERROR(INDEX('I2015'!E$5:E$73,MATCH($C74,'I2015'!$A$5:$A$73,0)),"")</f>
        <v/>
      </c>
      <c r="H74" s="102" t="str">
        <f>IFERROR(INDEX('I2015'!F$5:F$73,MATCH($C74,'I2015'!$A$5:$A$73,0)),"")</f>
        <v/>
      </c>
      <c r="I74" s="102" t="str">
        <f>IFERROR(INDEX('I2015'!G$5:G$73,MATCH($C74,'I2015'!$A$5:$A$73,0)),"")</f>
        <v/>
      </c>
      <c r="J74" s="102" t="str">
        <f>IFERROR(INDEX('I2015'!H$5:H$73,MATCH($C74,'I2015'!$A$5:$A$73,0)),"")</f>
        <v/>
      </c>
      <c r="K74" s="102" t="str">
        <f>IFERROR(INDEX('I2015'!I$5:I$73,MATCH($C74,'I2015'!$A$5:$A$73,0)),"")</f>
        <v/>
      </c>
      <c r="L74" s="102" t="str">
        <f>IFERROR(INDEX('I2015'!J$5:J$73,MATCH($C74,'I2015'!$A$5:$A$73,0)),"")</f>
        <v/>
      </c>
      <c r="M74" s="102" t="str">
        <f>IFERROR(INDEX('I2015'!K$5:K$73,MATCH($C74,'I2015'!$A$5:$A$73,0)),"")</f>
        <v/>
      </c>
      <c r="N74" s="102" t="str">
        <f>IFERROR(INDEX('I2015'!L$5:L$73,MATCH($C74,'I2015'!$A$5:$A$73,0)),"")</f>
        <v/>
      </c>
      <c r="O74" s="102" t="str">
        <f>IFERROR(INDEX('I2015'!M$5:M$73,MATCH($C74,'I2015'!$A$5:$A$73,0)),"")</f>
        <v/>
      </c>
      <c r="P74" s="102">
        <f>IFERROR(INDEX('I2016'!B$5:B$90,MATCH($C74,'I2016'!$A$5:$A$90,0)),"")</f>
        <v>422</v>
      </c>
      <c r="Q74" s="102">
        <f>IFERROR(INDEX('I2016'!C$5:C$90,MATCH($C74,'I2016'!$A$5:$A$90,0)),"")</f>
        <v>247</v>
      </c>
      <c r="R74" s="102">
        <f>IFERROR(INDEX('I2016'!D$5:D$90,MATCH($C74,'I2016'!$A$5:$A$90,0)),"")</f>
        <v>560</v>
      </c>
      <c r="S74" s="102">
        <f>IFERROR(INDEX('I2016'!E$5:E$90,MATCH($C74,'I2016'!$A$5:$A$90,0)),"")</f>
        <v>2215</v>
      </c>
      <c r="T74" s="102">
        <f>IFERROR(INDEX('I2016'!F$5:F$90,MATCH($C74,'I2016'!$A$5:$A$90,0)),"")</f>
        <v>1985</v>
      </c>
      <c r="U74" s="102">
        <f>IFERROR(INDEX('I2016'!G$5:G$90,MATCH($C74,'I2016'!$A$5:$A$90,0)),"")</f>
        <v>2500</v>
      </c>
      <c r="V74" s="102">
        <f>IFERROR(INDEX('I2016'!H$5:H$90,MATCH($C74,'I2016'!$A$5:$A$90,0)),"")</f>
        <v>3493</v>
      </c>
      <c r="W74" s="102">
        <f>IFERROR(INDEX('I2016'!I$5:I$90,MATCH($C74,'I2016'!$A$5:$A$90,0)),"")</f>
        <v>149</v>
      </c>
      <c r="X74" s="102">
        <f>IFERROR(INDEX('I2016'!J$5:J$90,MATCH($C74,'I2016'!$A$5:$A$90,0)),"")</f>
        <v>0</v>
      </c>
      <c r="Y74" s="102">
        <f>IFERROR(INDEX('I2016'!K$5:K$90,MATCH($C74,'I2016'!$A$5:$A$90,0)),"")</f>
        <v>250</v>
      </c>
      <c r="Z74" s="102">
        <f>IFERROR(INDEX('I2016'!L$5:L$90,MATCH($C74,'I2016'!$A$5:$A$90,0)),"")</f>
        <v>600</v>
      </c>
      <c r="AA74" s="102">
        <f>IFERROR(INDEX('I2016'!M$5:M$90,MATCH($C74,'I2016'!$A$5:$A$90,0)),"")</f>
        <v>327.2</v>
      </c>
      <c r="AB74" s="102" t="str">
        <f>IFERROR(INDEX('I2017'!B$5:B$96,MATCH($C74,'I2017'!$A$5:$A$96,0)),"")</f>
        <v/>
      </c>
      <c r="AC74" s="102" t="str">
        <f>IFERROR(INDEX('I2017'!C$5:C$96,MATCH($C74,'I2017'!$A$5:$A$96,0)),"")</f>
        <v/>
      </c>
      <c r="AD74" s="102" t="str">
        <f>IFERROR(INDEX('I2017'!D$5:D$96,MATCH($C74,'I2017'!$A$5:$A$96,0)),"")</f>
        <v/>
      </c>
      <c r="AE74" s="102" t="str">
        <f>IFERROR(INDEX('I2017'!E$5:E$96,MATCH($C74,'I2017'!$A$5:$A$96,0)),"")</f>
        <v/>
      </c>
      <c r="AF74" s="102" t="str">
        <f>IFERROR(INDEX('I2017'!F$5:F$96,MATCH($C74,'I2017'!$A$5:$A$96,0)),"")</f>
        <v/>
      </c>
      <c r="AG74" s="102" t="str">
        <f>IFERROR(INDEX('I2017'!G$5:G$96,MATCH($C74,'I2017'!$A$5:$A$96,0)),"")</f>
        <v/>
      </c>
      <c r="AH74" s="102" t="str">
        <f>IFERROR(INDEX('I2017'!H$5:H$96,MATCH($C74,'I2017'!$A$5:$A$96,0)),"")</f>
        <v/>
      </c>
      <c r="AI74" s="102" t="str">
        <f>IFERROR(INDEX('I2017'!I$5:I$96,MATCH($C74,'I2017'!$A$5:$A$96,0)),"")</f>
        <v/>
      </c>
      <c r="AJ74" s="102" t="str">
        <f>IFERROR(INDEX('I2017'!J$5:J$96,MATCH($C74,'I2017'!$A$5:$A$96,0)),"")</f>
        <v/>
      </c>
      <c r="AK74" s="102" t="str">
        <f>IFERROR(INDEX('I2017'!K$5:K$96,MATCH($C74,'I2017'!$A$5:$A$96,0)),"")</f>
        <v/>
      </c>
      <c r="AL74" s="102" t="str">
        <f>IFERROR(INDEX('I2017'!L$5:L$96,MATCH($C74,'I2017'!$A$5:$A$96,0)),"")</f>
        <v/>
      </c>
      <c r="AM74" s="102" t="str">
        <f>IFERROR(INDEX('I2017'!M$5:M$96,MATCH($C74,'I2017'!$A$5:$A$96,0)),"")</f>
        <v/>
      </c>
      <c r="AN74" s="102">
        <f>IFERROR(INDEX('I2018'!B$5:B$107,MATCH($C74,'I2018'!$A$5:$A$107,0)),"")</f>
        <v>0</v>
      </c>
      <c r="AO74" s="102">
        <f>IFERROR(INDEX('I2018'!C$5:C$107,MATCH($C74,'I2018'!$A$5:$A$107,0)),"")</f>
        <v>0</v>
      </c>
      <c r="AP74" s="102">
        <f>IFERROR(INDEX('I2018'!D$5:D$107,MATCH($C74,'I2018'!$A$5:$A$107,0)),"")</f>
        <v>0</v>
      </c>
      <c r="AQ74" s="102">
        <f>IFERROR(INDEX('I2018'!E$5:E$107,MATCH($C74,'I2018'!$A$5:$A$107,0)),"")</f>
        <v>0</v>
      </c>
      <c r="AR74" s="102">
        <f>IFERROR(INDEX('I2018'!F$5:F$107,MATCH($C74,'I2018'!$A$5:$A$107,0)),"")</f>
        <v>0</v>
      </c>
      <c r="AS74" s="102">
        <f>IFERROR(INDEX('I2018'!G$5:G$107,MATCH($C74,'I2018'!$A$5:$A$107,0)),"")</f>
        <v>0</v>
      </c>
      <c r="AT74" s="102">
        <f>IFERROR(INDEX('I2018'!H$5:H$107,MATCH($C74,'I2018'!$A$5:$A$107,0)),"")</f>
        <v>0</v>
      </c>
      <c r="AU74" s="102">
        <f>IFERROR(INDEX('I2018'!I$5:I$107,MATCH($C74,'I2018'!$A$5:$A$107,0)),"")</f>
        <v>0</v>
      </c>
      <c r="AV74" s="102">
        <f>IFERROR(INDEX('I2018'!J$5:J$107,MATCH($C74,'I2018'!$A$5:$A$107,0)),"")</f>
        <v>0</v>
      </c>
      <c r="AW74" s="102">
        <f>IFERROR(INDEX('I2018'!K$5:K$107,MATCH($C74,'I2018'!$A$5:$A$107,0)),"")</f>
        <v>1308.5</v>
      </c>
      <c r="AX74" s="102">
        <f>IFERROR(INDEX('I2018'!L$5:L$107,MATCH($C74,'I2018'!$A$5:$A$107,0)),"")</f>
        <v>2665.5</v>
      </c>
      <c r="AY74" s="102">
        <f>IFERROR(INDEX('I2018'!M$5:M$107,MATCH($C74,'I2018'!$A$5:$A$107,0)),"")</f>
        <v>0</v>
      </c>
      <c r="AZ74" s="102" t="str">
        <f>IFERROR(INDEX('I2019'!B$5:B$112,MATCH($C74,'I2019'!$A$5:$A$112,0)),"")</f>
        <v/>
      </c>
      <c r="BA74" s="102" t="str">
        <f>IFERROR(INDEX('I2019'!C$5:C$112,MATCH($C74,'I2019'!$A$5:$A$112,0)),"")</f>
        <v/>
      </c>
      <c r="BB74" s="102" t="str">
        <f>IFERROR(INDEX('I2019'!D$5:D$112,MATCH($C74,'I2019'!$A$5:$A$112,0)),"")</f>
        <v/>
      </c>
      <c r="BC74" s="102" t="str">
        <f>IFERROR(INDEX('I2019'!E$5:E$112,MATCH($C74,'I2019'!$A$5:$A$112,0)),"")</f>
        <v/>
      </c>
      <c r="BD74" s="102" t="str">
        <f>IFERROR(INDEX('I2019'!F$5:F$112,MATCH($C74,'I2019'!$A$5:$A$112,0)),"")</f>
        <v/>
      </c>
      <c r="BE74" s="102" t="str">
        <f>IFERROR(INDEX('I2019'!G$5:G$112,MATCH($C74,'I2019'!$A$5:$A$112,0)),"")</f>
        <v/>
      </c>
      <c r="BF74" s="102" t="str">
        <f>IFERROR(INDEX('I2019'!H$5:H$112,MATCH($C74,'I2019'!$A$5:$A$112,0)),"")</f>
        <v/>
      </c>
      <c r="BG74" s="102" t="str">
        <f>IFERROR(INDEX('I2019'!I$5:I$112,MATCH($C74,'I2019'!$A$5:$A$112,0)),"")</f>
        <v/>
      </c>
      <c r="BH74" s="102" t="str">
        <f>IFERROR(INDEX('I2019'!J$5:J$112,MATCH($C74,'I2019'!$A$5:$A$112,0)),"")</f>
        <v/>
      </c>
      <c r="BI74" s="102" t="str">
        <f>IFERROR(INDEX('I2019'!K$5:K$112,MATCH($C74,'I2019'!$A$5:$A$112,0)),"")</f>
        <v/>
      </c>
      <c r="BJ74" s="102" t="str">
        <f>IFERROR(INDEX('I2019'!L$5:L$112,MATCH($C74,'I2019'!$A$5:$A$112,0)),"")</f>
        <v/>
      </c>
      <c r="BK74" s="102" t="str">
        <f>IFERROR(INDEX('I2019'!M$5:M$112,MATCH($C74,'I2019'!$A$5:$A$112,0)),"")</f>
        <v/>
      </c>
      <c r="BL74" s="102">
        <f>IFERROR(INDEX('I2020'!B$5:B$113,MATCH($C74,'I2020'!$A$5:$A$113,0)),"")</f>
        <v>0</v>
      </c>
      <c r="BM74" s="102">
        <f>IFERROR(INDEX('I2020'!C$5:C$113,MATCH($C74,'I2020'!$A$5:$A$113,0)),"")</f>
        <v>0</v>
      </c>
      <c r="BN74" s="102">
        <f>IFERROR(INDEX('I2020'!D$5:D$113,MATCH($C74,'I2020'!$A$5:$A$113,0)),"")</f>
        <v>6190</v>
      </c>
      <c r="BO74" s="102">
        <f>IFERROR(INDEX('I2020'!E$5:E$113,MATCH($C74,'I2020'!$A$5:$A$113,0)),"")</f>
        <v>6511</v>
      </c>
      <c r="BP74" s="102">
        <f>IFERROR(INDEX('I2020'!F$5:F$113,MATCH($C74,'I2020'!$A$5:$A$113,0)),"")</f>
        <v>3353.52</v>
      </c>
      <c r="BQ74" s="392">
        <f>IFERROR(INDEX('I2020'!G$5:G$113,MATCH($C74,'I2020'!$A$5:$A$113,0)),"")</f>
        <v>6516.21</v>
      </c>
      <c r="BR74" s="64"/>
      <c r="BS74" s="64"/>
      <c r="BT74" s="64"/>
      <c r="BU74" s="64"/>
      <c r="BV74" s="64"/>
      <c r="BW74" s="64"/>
      <c r="BX74" s="64"/>
      <c r="BY74" s="64"/>
      <c r="BZ74" s="64"/>
      <c r="CA74" s="64"/>
      <c r="CB74" s="64"/>
      <c r="CC74" s="64"/>
      <c r="CD74" s="64"/>
      <c r="CE74" s="64"/>
      <c r="CF74" s="64"/>
      <c r="CG74" s="64"/>
      <c r="CH74" s="64"/>
      <c r="CI74" s="124"/>
      <c r="CJ74" s="134"/>
    </row>
    <row r="75" spans="1:88" x14ac:dyDescent="0.3">
      <c r="A75" s="165"/>
      <c r="B75" s="68"/>
      <c r="C75" s="21" t="s">
        <v>206</v>
      </c>
      <c r="D75" s="102" t="str">
        <f>IFERROR(INDEX('I2015'!B$5:B$73,MATCH($C75,'I2015'!$A$5:$A$73,0)),"")</f>
        <v/>
      </c>
      <c r="E75" s="102" t="str">
        <f>IFERROR(INDEX('I2015'!C$5:C$73,MATCH($C75,'I2015'!$A$5:$A$73,0)),"")</f>
        <v/>
      </c>
      <c r="F75" s="102" t="str">
        <f>IFERROR(INDEX('I2015'!D$5:D$73,MATCH($C75,'I2015'!$A$5:$A$73,0)),"")</f>
        <v/>
      </c>
      <c r="G75" s="102" t="str">
        <f>IFERROR(INDEX('I2015'!E$5:E$73,MATCH($C75,'I2015'!$A$5:$A$73,0)),"")</f>
        <v/>
      </c>
      <c r="H75" s="102" t="str">
        <f>IFERROR(INDEX('I2015'!F$5:F$73,MATCH($C75,'I2015'!$A$5:$A$73,0)),"")</f>
        <v/>
      </c>
      <c r="I75" s="102" t="str">
        <f>IFERROR(INDEX('I2015'!G$5:G$73,MATCH($C75,'I2015'!$A$5:$A$73,0)),"")</f>
        <v/>
      </c>
      <c r="J75" s="102" t="str">
        <f>IFERROR(INDEX('I2015'!H$5:H$73,MATCH($C75,'I2015'!$A$5:$A$73,0)),"")</f>
        <v/>
      </c>
      <c r="K75" s="102" t="str">
        <f>IFERROR(INDEX('I2015'!I$5:I$73,MATCH($C75,'I2015'!$A$5:$A$73,0)),"")</f>
        <v/>
      </c>
      <c r="L75" s="102" t="str">
        <f>IFERROR(INDEX('I2015'!J$5:J$73,MATCH($C75,'I2015'!$A$5:$A$73,0)),"")</f>
        <v/>
      </c>
      <c r="M75" s="102" t="str">
        <f>IFERROR(INDEX('I2015'!K$5:K$73,MATCH($C75,'I2015'!$A$5:$A$73,0)),"")</f>
        <v/>
      </c>
      <c r="N75" s="102" t="str">
        <f>IFERROR(INDEX('I2015'!L$5:L$73,MATCH($C75,'I2015'!$A$5:$A$73,0)),"")</f>
        <v/>
      </c>
      <c r="O75" s="102" t="str">
        <f>IFERROR(INDEX('I2015'!M$5:M$73,MATCH($C75,'I2015'!$A$5:$A$73,0)),"")</f>
        <v/>
      </c>
      <c r="P75" s="102" t="str">
        <f>IFERROR(INDEX('I2016'!B$5:B$90,MATCH($C75,'I2016'!$A$5:$A$90,0)),"")</f>
        <v/>
      </c>
      <c r="Q75" s="102" t="str">
        <f>IFERROR(INDEX('I2016'!C$5:C$90,MATCH($C75,'I2016'!$A$5:$A$90,0)),"")</f>
        <v/>
      </c>
      <c r="R75" s="102" t="str">
        <f>IFERROR(INDEX('I2016'!D$5:D$90,MATCH($C75,'I2016'!$A$5:$A$90,0)),"")</f>
        <v/>
      </c>
      <c r="S75" s="102" t="str">
        <f>IFERROR(INDEX('I2016'!E$5:E$90,MATCH($C75,'I2016'!$A$5:$A$90,0)),"")</f>
        <v/>
      </c>
      <c r="T75" s="102" t="str">
        <f>IFERROR(INDEX('I2016'!F$5:F$90,MATCH($C75,'I2016'!$A$5:$A$90,0)),"")</f>
        <v/>
      </c>
      <c r="U75" s="102" t="str">
        <f>IFERROR(INDEX('I2016'!G$5:G$90,MATCH($C75,'I2016'!$A$5:$A$90,0)),"")</f>
        <v/>
      </c>
      <c r="V75" s="102" t="str">
        <f>IFERROR(INDEX('I2016'!H$5:H$90,MATCH($C75,'I2016'!$A$5:$A$90,0)),"")</f>
        <v/>
      </c>
      <c r="W75" s="102" t="str">
        <f>IFERROR(INDEX('I2016'!I$5:I$90,MATCH($C75,'I2016'!$A$5:$A$90,0)),"")</f>
        <v/>
      </c>
      <c r="X75" s="102" t="str">
        <f>IFERROR(INDEX('I2016'!J$5:J$90,MATCH($C75,'I2016'!$A$5:$A$90,0)),"")</f>
        <v/>
      </c>
      <c r="Y75" s="102" t="str">
        <f>IFERROR(INDEX('I2016'!K$5:K$90,MATCH($C75,'I2016'!$A$5:$A$90,0)),"")</f>
        <v/>
      </c>
      <c r="Z75" s="102" t="str">
        <f>IFERROR(INDEX('I2016'!L$5:L$90,MATCH($C75,'I2016'!$A$5:$A$90,0)),"")</f>
        <v/>
      </c>
      <c r="AA75" s="102" t="str">
        <f>IFERROR(INDEX('I2016'!M$5:M$90,MATCH($C75,'I2016'!$A$5:$A$90,0)),"")</f>
        <v/>
      </c>
      <c r="AB75" s="102" t="str">
        <f>IFERROR(INDEX('I2017'!B$5:B$96,MATCH($C75,'I2017'!$A$5:$A$96,0)),"")</f>
        <v/>
      </c>
      <c r="AC75" s="102" t="str">
        <f>IFERROR(INDEX('I2017'!C$5:C$96,MATCH($C75,'I2017'!$A$5:$A$96,0)),"")</f>
        <v/>
      </c>
      <c r="AD75" s="102" t="str">
        <f>IFERROR(INDEX('I2017'!D$5:D$96,MATCH($C75,'I2017'!$A$5:$A$96,0)),"")</f>
        <v/>
      </c>
      <c r="AE75" s="102" t="str">
        <f>IFERROR(INDEX('I2017'!E$5:E$96,MATCH($C75,'I2017'!$A$5:$A$96,0)),"")</f>
        <v/>
      </c>
      <c r="AF75" s="102" t="str">
        <f>IFERROR(INDEX('I2017'!F$5:F$96,MATCH($C75,'I2017'!$A$5:$A$96,0)),"")</f>
        <v/>
      </c>
      <c r="AG75" s="102" t="str">
        <f>IFERROR(INDEX('I2017'!G$5:G$96,MATCH($C75,'I2017'!$A$5:$A$96,0)),"")</f>
        <v/>
      </c>
      <c r="AH75" s="102" t="str">
        <f>IFERROR(INDEX('I2017'!H$5:H$96,MATCH($C75,'I2017'!$A$5:$A$96,0)),"")</f>
        <v/>
      </c>
      <c r="AI75" s="102" t="str">
        <f>IFERROR(INDEX('I2017'!I$5:I$96,MATCH($C75,'I2017'!$A$5:$A$96,0)),"")</f>
        <v/>
      </c>
      <c r="AJ75" s="102" t="str">
        <f>IFERROR(INDEX('I2017'!J$5:J$96,MATCH($C75,'I2017'!$A$5:$A$96,0)),"")</f>
        <v/>
      </c>
      <c r="AK75" s="102" t="str">
        <f>IFERROR(INDEX('I2017'!K$5:K$96,MATCH($C75,'I2017'!$A$5:$A$96,0)),"")</f>
        <v/>
      </c>
      <c r="AL75" s="102" t="str">
        <f>IFERROR(INDEX('I2017'!L$5:L$96,MATCH($C75,'I2017'!$A$5:$A$96,0)),"")</f>
        <v/>
      </c>
      <c r="AM75" s="102" t="str">
        <f>IFERROR(INDEX('I2017'!M$5:M$96,MATCH($C75,'I2017'!$A$5:$A$96,0)),"")</f>
        <v/>
      </c>
      <c r="AN75" s="102" t="str">
        <f>IFERROR(INDEX('I2018'!B$5:B$107,MATCH($C75,'I2018'!$A$5:$A$107,0)),"")</f>
        <v/>
      </c>
      <c r="AO75" s="102" t="str">
        <f>IFERROR(INDEX('I2018'!C$5:C$107,MATCH($C75,'I2018'!$A$5:$A$107,0)),"")</f>
        <v/>
      </c>
      <c r="AP75" s="102" t="str">
        <f>IFERROR(INDEX('I2018'!D$5:D$107,MATCH($C75,'I2018'!$A$5:$A$107,0)),"")</f>
        <v/>
      </c>
      <c r="AQ75" s="102" t="str">
        <f>IFERROR(INDEX('I2018'!E$5:E$107,MATCH($C75,'I2018'!$A$5:$A$107,0)),"")</f>
        <v/>
      </c>
      <c r="AR75" s="102" t="str">
        <f>IFERROR(INDEX('I2018'!F$5:F$107,MATCH($C75,'I2018'!$A$5:$A$107,0)),"")</f>
        <v/>
      </c>
      <c r="AS75" s="102" t="str">
        <f>IFERROR(INDEX('I2018'!G$5:G$107,MATCH($C75,'I2018'!$A$5:$A$107,0)),"")</f>
        <v/>
      </c>
      <c r="AT75" s="102" t="str">
        <f>IFERROR(INDEX('I2018'!H$5:H$107,MATCH($C75,'I2018'!$A$5:$A$107,0)),"")</f>
        <v/>
      </c>
      <c r="AU75" s="102" t="str">
        <f>IFERROR(INDEX('I2018'!I$5:I$107,MATCH($C75,'I2018'!$A$5:$A$107,0)),"")</f>
        <v/>
      </c>
      <c r="AV75" s="102" t="str">
        <f>IFERROR(INDEX('I2018'!J$5:J$107,MATCH($C75,'I2018'!$A$5:$A$107,0)),"")</f>
        <v/>
      </c>
      <c r="AW75" s="102" t="str">
        <f>IFERROR(INDEX('I2018'!K$5:K$107,MATCH($C75,'I2018'!$A$5:$A$107,0)),"")</f>
        <v/>
      </c>
      <c r="AX75" s="102" t="str">
        <f>IFERROR(INDEX('I2018'!L$5:L$107,MATCH($C75,'I2018'!$A$5:$A$107,0)),"")</f>
        <v/>
      </c>
      <c r="AY75" s="102" t="str">
        <f>IFERROR(INDEX('I2018'!M$5:M$107,MATCH($C75,'I2018'!$A$5:$A$107,0)),"")</f>
        <v/>
      </c>
      <c r="AZ75" s="102">
        <f>IFERROR(INDEX('I2019'!B$5:B$112,MATCH($C75,'I2019'!$A$5:$A$112,0)),"")</f>
        <v>0</v>
      </c>
      <c r="BA75" s="102">
        <f>IFERROR(INDEX('I2019'!C$5:C$112,MATCH($C75,'I2019'!$A$5:$A$112,0)),"")</f>
        <v>0</v>
      </c>
      <c r="BB75" s="102">
        <f>IFERROR(INDEX('I2019'!D$5:D$112,MATCH($C75,'I2019'!$A$5:$A$112,0)),"")</f>
        <v>0</v>
      </c>
      <c r="BC75" s="102">
        <f>IFERROR(INDEX('I2019'!E$5:E$112,MATCH($C75,'I2019'!$A$5:$A$112,0)),"")</f>
        <v>0</v>
      </c>
      <c r="BD75" s="102">
        <f>IFERROR(INDEX('I2019'!F$5:F$112,MATCH($C75,'I2019'!$A$5:$A$112,0)),"")</f>
        <v>0</v>
      </c>
      <c r="BE75" s="102">
        <f>IFERROR(INDEX('I2019'!G$5:G$112,MATCH($C75,'I2019'!$A$5:$A$112,0)),"")</f>
        <v>0</v>
      </c>
      <c r="BF75" s="102">
        <f>IFERROR(INDEX('I2019'!H$5:H$112,MATCH($C75,'I2019'!$A$5:$A$112,0)),"")</f>
        <v>0</v>
      </c>
      <c r="BG75" s="102">
        <f>IFERROR(INDEX('I2019'!I$5:I$112,MATCH($C75,'I2019'!$A$5:$A$112,0)),"")</f>
        <v>1665</v>
      </c>
      <c r="BH75" s="102">
        <f>IFERROR(INDEX('I2019'!J$5:J$112,MATCH($C75,'I2019'!$A$5:$A$112,0)),"")</f>
        <v>0</v>
      </c>
      <c r="BI75" s="102">
        <f>IFERROR(INDEX('I2019'!K$5:K$112,MATCH($C75,'I2019'!$A$5:$A$112,0)),"")</f>
        <v>0</v>
      </c>
      <c r="BJ75" s="102">
        <f>IFERROR(INDEX('I2019'!L$5:L$112,MATCH($C75,'I2019'!$A$5:$A$112,0)),"")</f>
        <v>0</v>
      </c>
      <c r="BK75" s="102">
        <f>IFERROR(INDEX('I2019'!M$5:M$112,MATCH($C75,'I2019'!$A$5:$A$112,0)),"")</f>
        <v>0</v>
      </c>
      <c r="BL75" s="102">
        <f>IFERROR(INDEX('I2020'!B$5:B$113,MATCH($C75,'I2020'!$A$5:$A$113,0)),"")</f>
        <v>0</v>
      </c>
      <c r="BM75" s="102">
        <f>IFERROR(INDEX('I2020'!C$5:C$113,MATCH($C75,'I2020'!$A$5:$A$113,0)),"")</f>
        <v>370</v>
      </c>
      <c r="BN75" s="102">
        <f>IFERROR(INDEX('I2020'!D$5:D$113,MATCH($C75,'I2020'!$A$5:$A$113,0)),"")</f>
        <v>0</v>
      </c>
      <c r="BO75" s="102">
        <f>IFERROR(INDEX('I2020'!E$5:E$113,MATCH($C75,'I2020'!$A$5:$A$113,0)),"")</f>
        <v>0</v>
      </c>
      <c r="BP75" s="102">
        <f>IFERROR(INDEX('I2020'!F$5:F$113,MATCH($C75,'I2020'!$A$5:$A$113,0)),"")</f>
        <v>0</v>
      </c>
      <c r="BQ75" s="392">
        <f>IFERROR(INDEX('I2020'!G$5:G$113,MATCH($C75,'I2020'!$A$5:$A$113,0)),"")</f>
        <v>0</v>
      </c>
      <c r="BR75" s="64"/>
      <c r="BS75" s="64"/>
      <c r="BT75" s="64"/>
      <c r="BU75" s="64"/>
      <c r="BV75" s="64"/>
      <c r="BW75" s="64"/>
      <c r="BX75" s="64"/>
      <c r="BY75" s="64"/>
      <c r="BZ75" s="64"/>
      <c r="CA75" s="64"/>
      <c r="CB75" s="64"/>
      <c r="CC75" s="64"/>
      <c r="CD75" s="64"/>
      <c r="CE75" s="64"/>
      <c r="CF75" s="64"/>
      <c r="CG75" s="64"/>
      <c r="CH75" s="64"/>
      <c r="CI75" s="124"/>
      <c r="CJ75" s="134"/>
    </row>
    <row r="76" spans="1:88" x14ac:dyDescent="0.3">
      <c r="A76" s="33"/>
      <c r="B76" s="68"/>
      <c r="C76" s="21" t="s">
        <v>57</v>
      </c>
      <c r="D76" s="102" t="str">
        <f>IFERROR(INDEX('I2015'!B$5:B$73,MATCH($C76,'I2015'!$A$5:$A$73,0)),"")</f>
        <v/>
      </c>
      <c r="E76" s="102" t="str">
        <f>IFERROR(INDEX('I2015'!C$5:C$73,MATCH($C76,'I2015'!$A$5:$A$73,0)),"")</f>
        <v/>
      </c>
      <c r="F76" s="102" t="str">
        <f>IFERROR(INDEX('I2015'!D$5:D$73,MATCH($C76,'I2015'!$A$5:$A$73,0)),"")</f>
        <v/>
      </c>
      <c r="G76" s="102" t="str">
        <f>IFERROR(INDEX('I2015'!E$5:E$73,MATCH($C76,'I2015'!$A$5:$A$73,0)),"")</f>
        <v/>
      </c>
      <c r="H76" s="102" t="str">
        <f>IFERROR(INDEX('I2015'!F$5:F$73,MATCH($C76,'I2015'!$A$5:$A$73,0)),"")</f>
        <v/>
      </c>
      <c r="I76" s="102" t="str">
        <f>IFERROR(INDEX('I2015'!G$5:G$73,MATCH($C76,'I2015'!$A$5:$A$73,0)),"")</f>
        <v/>
      </c>
      <c r="J76" s="102" t="str">
        <f>IFERROR(INDEX('I2015'!H$5:H$73,MATCH($C76,'I2015'!$A$5:$A$73,0)),"")</f>
        <v/>
      </c>
      <c r="K76" s="102" t="str">
        <f>IFERROR(INDEX('I2015'!I$5:I$73,MATCH($C76,'I2015'!$A$5:$A$73,0)),"")</f>
        <v/>
      </c>
      <c r="L76" s="102" t="str">
        <f>IFERROR(INDEX('I2015'!J$5:J$73,MATCH($C76,'I2015'!$A$5:$A$73,0)),"")</f>
        <v/>
      </c>
      <c r="M76" s="102" t="str">
        <f>IFERROR(INDEX('I2015'!K$5:K$73,MATCH($C76,'I2015'!$A$5:$A$73,0)),"")</f>
        <v/>
      </c>
      <c r="N76" s="102" t="str">
        <f>IFERROR(INDEX('I2015'!L$5:L$73,MATCH($C76,'I2015'!$A$5:$A$73,0)),"")</f>
        <v/>
      </c>
      <c r="O76" s="102" t="str">
        <f>IFERROR(INDEX('I2015'!M$5:M$73,MATCH($C76,'I2015'!$A$5:$A$73,0)),"")</f>
        <v/>
      </c>
      <c r="P76" s="102" t="str">
        <f>IFERROR(INDEX('I2016'!B$5:B$90,MATCH($C76,'I2016'!$A$5:$A$90,0)),"")</f>
        <v/>
      </c>
      <c r="Q76" s="102" t="str">
        <f>IFERROR(INDEX('I2016'!C$5:C$90,MATCH($C76,'I2016'!$A$5:$A$90,0)),"")</f>
        <v/>
      </c>
      <c r="R76" s="102" t="str">
        <f>IFERROR(INDEX('I2016'!D$5:D$90,MATCH($C76,'I2016'!$A$5:$A$90,0)),"")</f>
        <v/>
      </c>
      <c r="S76" s="102" t="str">
        <f>IFERROR(INDEX('I2016'!E$5:E$90,MATCH($C76,'I2016'!$A$5:$A$90,0)),"")</f>
        <v/>
      </c>
      <c r="T76" s="102" t="str">
        <f>IFERROR(INDEX('I2016'!F$5:F$90,MATCH($C76,'I2016'!$A$5:$A$90,0)),"")</f>
        <v/>
      </c>
      <c r="U76" s="102" t="str">
        <f>IFERROR(INDEX('I2016'!G$5:G$90,MATCH($C76,'I2016'!$A$5:$A$90,0)),"")</f>
        <v/>
      </c>
      <c r="V76" s="102" t="str">
        <f>IFERROR(INDEX('I2016'!H$5:H$90,MATCH($C76,'I2016'!$A$5:$A$90,0)),"")</f>
        <v/>
      </c>
      <c r="W76" s="102" t="str">
        <f>IFERROR(INDEX('I2016'!I$5:I$90,MATCH($C76,'I2016'!$A$5:$A$90,0)),"")</f>
        <v/>
      </c>
      <c r="X76" s="102" t="str">
        <f>IFERROR(INDEX('I2016'!J$5:J$90,MATCH($C76,'I2016'!$A$5:$A$90,0)),"")</f>
        <v/>
      </c>
      <c r="Y76" s="102" t="str">
        <f>IFERROR(INDEX('I2016'!K$5:K$90,MATCH($C76,'I2016'!$A$5:$A$90,0)),"")</f>
        <v/>
      </c>
      <c r="Z76" s="102" t="str">
        <f>IFERROR(INDEX('I2016'!L$5:L$90,MATCH($C76,'I2016'!$A$5:$A$90,0)),"")</f>
        <v/>
      </c>
      <c r="AA76" s="102" t="str">
        <f>IFERROR(INDEX('I2016'!M$5:M$90,MATCH($C76,'I2016'!$A$5:$A$90,0)),"")</f>
        <v/>
      </c>
      <c r="AB76" s="102">
        <f>IFERROR(INDEX('I2017'!B$5:B$96,MATCH($C76,'I2017'!$A$5:$A$96,0)),"")</f>
        <v>0</v>
      </c>
      <c r="AC76" s="102">
        <f>IFERROR(INDEX('I2017'!C$5:C$96,MATCH($C76,'I2017'!$A$5:$A$96,0)),"")</f>
        <v>1000</v>
      </c>
      <c r="AD76" s="102">
        <f>IFERROR(INDEX('I2017'!D$5:D$96,MATCH($C76,'I2017'!$A$5:$A$96,0)),"")</f>
        <v>0</v>
      </c>
      <c r="AE76" s="102">
        <f>IFERROR(INDEX('I2017'!E$5:E$96,MATCH($C76,'I2017'!$A$5:$A$96,0)),"")</f>
        <v>0</v>
      </c>
      <c r="AF76" s="102">
        <f>IFERROR(INDEX('I2017'!F$5:F$96,MATCH($C76,'I2017'!$A$5:$A$96,0)),"")</f>
        <v>0</v>
      </c>
      <c r="AG76" s="102">
        <f>IFERROR(INDEX('I2017'!G$5:G$96,MATCH($C76,'I2017'!$A$5:$A$96,0)),"")</f>
        <v>0</v>
      </c>
      <c r="AH76" s="102">
        <f>IFERROR(INDEX('I2017'!H$5:H$96,MATCH($C76,'I2017'!$A$5:$A$96,0)),"")</f>
        <v>5932.5</v>
      </c>
      <c r="AI76" s="102">
        <f>IFERROR(INDEX('I2017'!I$5:I$96,MATCH($C76,'I2017'!$A$5:$A$96,0)),"")</f>
        <v>4664.5</v>
      </c>
      <c r="AJ76" s="102">
        <f>IFERROR(INDEX('I2017'!J$5:J$96,MATCH($C76,'I2017'!$A$5:$A$96,0)),"")</f>
        <v>5449.02</v>
      </c>
      <c r="AK76" s="102">
        <f>IFERROR(INDEX('I2017'!K$5:K$96,MATCH($C76,'I2017'!$A$5:$A$96,0)),"")</f>
        <v>3468</v>
      </c>
      <c r="AL76" s="102">
        <f>IFERROR(INDEX('I2017'!L$5:L$96,MATCH($C76,'I2017'!$A$5:$A$96,0)),"")</f>
        <v>0</v>
      </c>
      <c r="AM76" s="102">
        <f>IFERROR(INDEX('I2017'!M$5:M$96,MATCH($C76,'I2017'!$A$5:$A$96,0)),"")</f>
        <v>1681.5</v>
      </c>
      <c r="AN76" s="102">
        <f>IFERROR(INDEX('I2018'!B$5:B$107,MATCH($C76,'I2018'!$A$5:$A$107,0)),"")</f>
        <v>0</v>
      </c>
      <c r="AO76" s="102">
        <f>IFERROR(INDEX('I2018'!C$5:C$107,MATCH($C76,'I2018'!$A$5:$A$107,0)),"")</f>
        <v>3156.5</v>
      </c>
      <c r="AP76" s="102">
        <f>IFERROR(INDEX('I2018'!D$5:D$107,MATCH($C76,'I2018'!$A$5:$A$107,0)),"")</f>
        <v>6020.5</v>
      </c>
      <c r="AQ76" s="102">
        <f>IFERROR(INDEX('I2018'!E$5:E$107,MATCH($C76,'I2018'!$A$5:$A$107,0)),"")</f>
        <v>354</v>
      </c>
      <c r="AR76" s="102">
        <f>IFERROR(INDEX('I2018'!F$5:F$107,MATCH($C76,'I2018'!$A$5:$A$107,0)),"")</f>
        <v>5790.94</v>
      </c>
      <c r="AS76" s="102">
        <f>IFERROR(INDEX('I2018'!G$5:G$107,MATCH($C76,'I2018'!$A$5:$A$107,0)),"")</f>
        <v>1790.5</v>
      </c>
      <c r="AT76" s="102">
        <f>IFERROR(INDEX('I2018'!H$5:H$107,MATCH($C76,'I2018'!$A$5:$A$107,0)),"")</f>
        <v>1008</v>
      </c>
      <c r="AU76" s="102">
        <f>IFERROR(INDEX('I2018'!I$5:I$107,MATCH($C76,'I2018'!$A$5:$A$107,0)),"")</f>
        <v>1239</v>
      </c>
      <c r="AV76" s="102">
        <f>IFERROR(INDEX('I2018'!J$5:J$107,MATCH($C76,'I2018'!$A$5:$A$107,0)),"")</f>
        <v>1133.58</v>
      </c>
      <c r="AW76" s="102">
        <f>IFERROR(INDEX('I2018'!K$5:K$107,MATCH($C76,'I2018'!$A$5:$A$107,0)),"")</f>
        <v>2899</v>
      </c>
      <c r="AX76" s="102">
        <f>IFERROR(INDEX('I2018'!L$5:L$107,MATCH($C76,'I2018'!$A$5:$A$107,0)),"")</f>
        <v>2210.5</v>
      </c>
      <c r="AY76" s="102">
        <f>IFERROR(INDEX('I2018'!M$5:M$107,MATCH($C76,'I2018'!$A$5:$A$107,0)),"")</f>
        <v>1311</v>
      </c>
      <c r="AZ76" s="102">
        <f>IFERROR(INDEX('I2019'!B$5:B$112,MATCH($C76,'I2019'!$A$5:$A$112,0)),"")</f>
        <v>2830.5</v>
      </c>
      <c r="BA76" s="102">
        <f>IFERROR(INDEX('I2019'!C$5:C$112,MATCH($C76,'I2019'!$A$5:$A$112,0)),"")</f>
        <v>1055</v>
      </c>
      <c r="BB76" s="102">
        <f>IFERROR(INDEX('I2019'!D$5:D$112,MATCH($C76,'I2019'!$A$5:$A$112,0)),"")</f>
        <v>735</v>
      </c>
      <c r="BC76" s="102">
        <f>IFERROR(INDEX('I2019'!E$5:E$112,MATCH($C76,'I2019'!$A$5:$A$112,0)),"")</f>
        <v>792</v>
      </c>
      <c r="BD76" s="102">
        <f>IFERROR(INDEX('I2019'!F$5:F$112,MATCH($C76,'I2019'!$A$5:$A$112,0)),"")</f>
        <v>2394.5</v>
      </c>
      <c r="BE76" s="102">
        <f>IFERROR(INDEX('I2019'!G$5:G$112,MATCH($C76,'I2019'!$A$5:$A$112,0)),"")</f>
        <v>2238.5</v>
      </c>
      <c r="BF76" s="102">
        <f>IFERROR(INDEX('I2019'!H$5:H$112,MATCH($C76,'I2019'!$A$5:$A$112,0)),"")</f>
        <v>1779.5</v>
      </c>
      <c r="BG76" s="102">
        <f>IFERROR(INDEX('I2019'!I$5:I$112,MATCH($C76,'I2019'!$A$5:$A$112,0)),"")</f>
        <v>6559.97</v>
      </c>
      <c r="BH76" s="102">
        <f>IFERROR(INDEX('I2019'!J$5:J$112,MATCH($C76,'I2019'!$A$5:$A$112,0)),"")</f>
        <v>4970</v>
      </c>
      <c r="BI76" s="102">
        <f>IFERROR(INDEX('I2019'!K$5:K$112,MATCH($C76,'I2019'!$A$5:$A$112,0)),"")</f>
        <v>350.5</v>
      </c>
      <c r="BJ76" s="102">
        <f>IFERROR(INDEX('I2019'!L$5:L$112,MATCH($C76,'I2019'!$A$5:$A$112,0)),"")</f>
        <v>2338.5</v>
      </c>
      <c r="BK76" s="102">
        <f>IFERROR(INDEX('I2019'!M$5:M$112,MATCH($C76,'I2019'!$A$5:$A$112,0)),"")</f>
        <v>813.5</v>
      </c>
      <c r="BL76" s="102">
        <f>IFERROR(INDEX('I2020'!B$5:B$113,MATCH($C76,'I2020'!$A$5:$A$113,0)),"")</f>
        <v>2858</v>
      </c>
      <c r="BM76" s="102">
        <f>IFERROR(INDEX('I2020'!C$5:C$113,MATCH($C76,'I2020'!$A$5:$A$113,0)),"")</f>
        <v>3506.5</v>
      </c>
      <c r="BN76" s="102">
        <f>IFERROR(INDEX('I2020'!D$5:D$113,MATCH($C76,'I2020'!$A$5:$A$113,0)),"")</f>
        <v>4065</v>
      </c>
      <c r="BO76" s="102">
        <f>IFERROR(INDEX('I2020'!E$5:E$113,MATCH($C76,'I2020'!$A$5:$A$113,0)),"")</f>
        <v>6860</v>
      </c>
      <c r="BP76" s="102">
        <f>IFERROR(INDEX('I2020'!F$5:F$113,MATCH($C76,'I2020'!$A$5:$A$113,0)),"")</f>
        <v>3121.5</v>
      </c>
      <c r="BQ76" s="392">
        <f>IFERROR(INDEX('I2020'!G$5:G$113,MATCH($C76,'I2020'!$A$5:$A$113,0)),"")</f>
        <v>8348.5</v>
      </c>
      <c r="BR76" s="64"/>
      <c r="BS76" s="64"/>
      <c r="BT76" s="64"/>
      <c r="BU76" s="64"/>
      <c r="BV76" s="64"/>
      <c r="BW76" s="64"/>
      <c r="BX76" s="64"/>
      <c r="BY76" s="64"/>
      <c r="BZ76" s="64"/>
      <c r="CA76" s="64"/>
      <c r="CB76" s="64"/>
      <c r="CC76" s="64"/>
      <c r="CD76" s="64"/>
      <c r="CE76" s="64"/>
      <c r="CF76" s="64"/>
      <c r="CG76" s="64"/>
      <c r="CH76" s="64"/>
      <c r="CI76" s="124"/>
      <c r="CJ76" s="134"/>
    </row>
    <row r="77" spans="1:88" x14ac:dyDescent="0.3">
      <c r="A77" s="33"/>
      <c r="B77" s="68"/>
      <c r="C77" s="21" t="s">
        <v>131</v>
      </c>
      <c r="D77" s="102" t="str">
        <f>IFERROR(INDEX('I2015'!B$5:B$73,MATCH($C77,'I2015'!$A$5:$A$73,0)),"")</f>
        <v/>
      </c>
      <c r="E77" s="102" t="str">
        <f>IFERROR(INDEX('I2015'!C$5:C$73,MATCH($C77,'I2015'!$A$5:$A$73,0)),"")</f>
        <v/>
      </c>
      <c r="F77" s="102" t="str">
        <f>IFERROR(INDEX('I2015'!D$5:D$73,MATCH($C77,'I2015'!$A$5:$A$73,0)),"")</f>
        <v/>
      </c>
      <c r="G77" s="102" t="str">
        <f>IFERROR(INDEX('I2015'!E$5:E$73,MATCH($C77,'I2015'!$A$5:$A$73,0)),"")</f>
        <v/>
      </c>
      <c r="H77" s="102" t="str">
        <f>IFERROR(INDEX('I2015'!F$5:F$73,MATCH($C77,'I2015'!$A$5:$A$73,0)),"")</f>
        <v/>
      </c>
      <c r="I77" s="102" t="str">
        <f>IFERROR(INDEX('I2015'!G$5:G$73,MATCH($C77,'I2015'!$A$5:$A$73,0)),"")</f>
        <v/>
      </c>
      <c r="J77" s="102" t="str">
        <f>IFERROR(INDEX('I2015'!H$5:H$73,MATCH($C77,'I2015'!$A$5:$A$73,0)),"")</f>
        <v/>
      </c>
      <c r="K77" s="102" t="str">
        <f>IFERROR(INDEX('I2015'!I$5:I$73,MATCH($C77,'I2015'!$A$5:$A$73,0)),"")</f>
        <v/>
      </c>
      <c r="L77" s="102" t="str">
        <f>IFERROR(INDEX('I2015'!J$5:J$73,MATCH($C77,'I2015'!$A$5:$A$73,0)),"")</f>
        <v/>
      </c>
      <c r="M77" s="102" t="str">
        <f>IFERROR(INDEX('I2015'!K$5:K$73,MATCH($C77,'I2015'!$A$5:$A$73,0)),"")</f>
        <v/>
      </c>
      <c r="N77" s="102" t="str">
        <f>IFERROR(INDEX('I2015'!L$5:L$73,MATCH($C77,'I2015'!$A$5:$A$73,0)),"")</f>
        <v/>
      </c>
      <c r="O77" s="102" t="str">
        <f>IFERROR(INDEX('I2015'!M$5:M$73,MATCH($C77,'I2015'!$A$5:$A$73,0)),"")</f>
        <v/>
      </c>
      <c r="P77" s="102" t="str">
        <f>IFERROR(INDEX('I2016'!B$5:B$90,MATCH($C77,'I2016'!$A$5:$A$90,0)),"")</f>
        <v/>
      </c>
      <c r="Q77" s="102" t="str">
        <f>IFERROR(INDEX('I2016'!C$5:C$90,MATCH($C77,'I2016'!$A$5:$A$90,0)),"")</f>
        <v/>
      </c>
      <c r="R77" s="102" t="str">
        <f>IFERROR(INDEX('I2016'!D$5:D$90,MATCH($C77,'I2016'!$A$5:$A$90,0)),"")</f>
        <v/>
      </c>
      <c r="S77" s="102" t="str">
        <f>IFERROR(INDEX('I2016'!E$5:E$90,MATCH($C77,'I2016'!$A$5:$A$90,0)),"")</f>
        <v/>
      </c>
      <c r="T77" s="102" t="str">
        <f>IFERROR(INDEX('I2016'!F$5:F$90,MATCH($C77,'I2016'!$A$5:$A$90,0)),"")</f>
        <v/>
      </c>
      <c r="U77" s="102" t="str">
        <f>IFERROR(INDEX('I2016'!G$5:G$90,MATCH($C77,'I2016'!$A$5:$A$90,0)),"")</f>
        <v/>
      </c>
      <c r="V77" s="102" t="str">
        <f>IFERROR(INDEX('I2016'!H$5:H$90,MATCH($C77,'I2016'!$A$5:$A$90,0)),"")</f>
        <v/>
      </c>
      <c r="W77" s="102" t="str">
        <f>IFERROR(INDEX('I2016'!I$5:I$90,MATCH($C77,'I2016'!$A$5:$A$90,0)),"")</f>
        <v/>
      </c>
      <c r="X77" s="102" t="str">
        <f>IFERROR(INDEX('I2016'!J$5:J$90,MATCH($C77,'I2016'!$A$5:$A$90,0)),"")</f>
        <v/>
      </c>
      <c r="Y77" s="102" t="str">
        <f>IFERROR(INDEX('I2016'!K$5:K$90,MATCH($C77,'I2016'!$A$5:$A$90,0)),"")</f>
        <v/>
      </c>
      <c r="Z77" s="102" t="str">
        <f>IFERROR(INDEX('I2016'!L$5:L$90,MATCH($C77,'I2016'!$A$5:$A$90,0)),"")</f>
        <v/>
      </c>
      <c r="AA77" s="102" t="str">
        <f>IFERROR(INDEX('I2016'!M$5:M$90,MATCH($C77,'I2016'!$A$5:$A$90,0)),"")</f>
        <v/>
      </c>
      <c r="AB77" s="102">
        <f>IFERROR(INDEX('I2017'!B$5:B$96,MATCH($C77,'I2017'!$A$5:$A$96,0)),"")</f>
        <v>0</v>
      </c>
      <c r="AC77" s="102">
        <f>IFERROR(INDEX('I2017'!C$5:C$96,MATCH($C77,'I2017'!$A$5:$A$96,0)),"")</f>
        <v>0</v>
      </c>
      <c r="AD77" s="102">
        <f>IFERROR(INDEX('I2017'!D$5:D$96,MATCH($C77,'I2017'!$A$5:$A$96,0)),"")</f>
        <v>0</v>
      </c>
      <c r="AE77" s="102">
        <f>IFERROR(INDEX('I2017'!E$5:E$96,MATCH($C77,'I2017'!$A$5:$A$96,0)),"")</f>
        <v>0</v>
      </c>
      <c r="AF77" s="102">
        <f>IFERROR(INDEX('I2017'!F$5:F$96,MATCH($C77,'I2017'!$A$5:$A$96,0)),"")</f>
        <v>0</v>
      </c>
      <c r="AG77" s="102">
        <f>IFERROR(INDEX('I2017'!G$5:G$96,MATCH($C77,'I2017'!$A$5:$A$96,0)),"")</f>
        <v>0</v>
      </c>
      <c r="AH77" s="102">
        <f>IFERROR(INDEX('I2017'!H$5:H$96,MATCH($C77,'I2017'!$A$5:$A$96,0)),"")</f>
        <v>0</v>
      </c>
      <c r="AI77" s="102">
        <f>IFERROR(INDEX('I2017'!I$5:I$96,MATCH($C77,'I2017'!$A$5:$A$96,0)),"")</f>
        <v>0</v>
      </c>
      <c r="AJ77" s="102">
        <f>IFERROR(INDEX('I2017'!J$5:J$96,MATCH($C77,'I2017'!$A$5:$A$96,0)),"")</f>
        <v>355.5</v>
      </c>
      <c r="AK77" s="102">
        <f>IFERROR(INDEX('I2017'!K$5:K$96,MATCH($C77,'I2017'!$A$5:$A$96,0)),"")</f>
        <v>500</v>
      </c>
      <c r="AL77" s="102">
        <f>IFERROR(INDEX('I2017'!L$5:L$96,MATCH($C77,'I2017'!$A$5:$A$96,0)),"")</f>
        <v>0</v>
      </c>
      <c r="AM77" s="102">
        <f>IFERROR(INDEX('I2017'!M$5:M$96,MATCH($C77,'I2017'!$A$5:$A$96,0)),"")</f>
        <v>501.2</v>
      </c>
      <c r="AN77" s="102" t="str">
        <f>IFERROR(INDEX('I2018'!B$5:B$107,MATCH($C77,'I2018'!$A$5:$A$107,0)),"")</f>
        <v/>
      </c>
      <c r="AO77" s="102" t="str">
        <f>IFERROR(INDEX('I2018'!C$5:C$107,MATCH($C77,'I2018'!$A$5:$A$107,0)),"")</f>
        <v/>
      </c>
      <c r="AP77" s="102" t="str">
        <f>IFERROR(INDEX('I2018'!D$5:D$107,MATCH($C77,'I2018'!$A$5:$A$107,0)),"")</f>
        <v/>
      </c>
      <c r="AQ77" s="102" t="str">
        <f>IFERROR(INDEX('I2018'!E$5:E$107,MATCH($C77,'I2018'!$A$5:$A$107,0)),"")</f>
        <v/>
      </c>
      <c r="AR77" s="102" t="str">
        <f>IFERROR(INDEX('I2018'!F$5:F$107,MATCH($C77,'I2018'!$A$5:$A$107,0)),"")</f>
        <v/>
      </c>
      <c r="AS77" s="102" t="str">
        <f>IFERROR(INDEX('I2018'!G$5:G$107,MATCH($C77,'I2018'!$A$5:$A$107,0)),"")</f>
        <v/>
      </c>
      <c r="AT77" s="102" t="str">
        <f>IFERROR(INDEX('I2018'!H$5:H$107,MATCH($C77,'I2018'!$A$5:$A$107,0)),"")</f>
        <v/>
      </c>
      <c r="AU77" s="102" t="str">
        <f>IFERROR(INDEX('I2018'!I$5:I$107,MATCH($C77,'I2018'!$A$5:$A$107,0)),"")</f>
        <v/>
      </c>
      <c r="AV77" s="102" t="str">
        <f>IFERROR(INDEX('I2018'!J$5:J$107,MATCH($C77,'I2018'!$A$5:$A$107,0)),"")</f>
        <v/>
      </c>
      <c r="AW77" s="102" t="str">
        <f>IFERROR(INDEX('I2018'!K$5:K$107,MATCH($C77,'I2018'!$A$5:$A$107,0)),"")</f>
        <v/>
      </c>
      <c r="AX77" s="102" t="str">
        <f>IFERROR(INDEX('I2018'!L$5:L$107,MATCH($C77,'I2018'!$A$5:$A$107,0)),"")</f>
        <v/>
      </c>
      <c r="AY77" s="102" t="str">
        <f>IFERROR(INDEX('I2018'!M$5:M$107,MATCH($C77,'I2018'!$A$5:$A$107,0)),"")</f>
        <v/>
      </c>
      <c r="AZ77" s="102">
        <f>IFERROR(INDEX('I2019'!B$5:B$112,MATCH($C77,'I2019'!$A$5:$A$112,0)),"")</f>
        <v>0</v>
      </c>
      <c r="BA77" s="102">
        <f>IFERROR(INDEX('I2019'!C$5:C$112,MATCH($C77,'I2019'!$A$5:$A$112,0)),"")</f>
        <v>0</v>
      </c>
      <c r="BB77" s="102">
        <f>IFERROR(INDEX('I2019'!D$5:D$112,MATCH($C77,'I2019'!$A$5:$A$112,0)),"")</f>
        <v>0</v>
      </c>
      <c r="BC77" s="102">
        <f>IFERROR(INDEX('I2019'!E$5:E$112,MATCH($C77,'I2019'!$A$5:$A$112,0)),"")</f>
        <v>0</v>
      </c>
      <c r="BD77" s="102">
        <f>IFERROR(INDEX('I2019'!F$5:F$112,MATCH($C77,'I2019'!$A$5:$A$112,0)),"")</f>
        <v>0</v>
      </c>
      <c r="BE77" s="102">
        <f>IFERROR(INDEX('I2019'!G$5:G$112,MATCH($C77,'I2019'!$A$5:$A$112,0)),"")</f>
        <v>0</v>
      </c>
      <c r="BF77" s="102">
        <f>IFERROR(INDEX('I2019'!H$5:H$112,MATCH($C77,'I2019'!$A$5:$A$112,0)),"")</f>
        <v>4000</v>
      </c>
      <c r="BG77" s="102">
        <f>IFERROR(INDEX('I2019'!I$5:I$112,MATCH($C77,'I2019'!$A$5:$A$112,0)),"")</f>
        <v>0</v>
      </c>
      <c r="BH77" s="102">
        <f>IFERROR(INDEX('I2019'!J$5:J$112,MATCH($C77,'I2019'!$A$5:$A$112,0)),"")</f>
        <v>593</v>
      </c>
      <c r="BI77" s="102">
        <f>IFERROR(INDEX('I2019'!K$5:K$112,MATCH($C77,'I2019'!$A$5:$A$112,0)),"")</f>
        <v>660</v>
      </c>
      <c r="BJ77" s="102">
        <f>IFERROR(INDEX('I2019'!L$5:L$112,MATCH($C77,'I2019'!$A$5:$A$112,0)),"")</f>
        <v>2059</v>
      </c>
      <c r="BK77" s="102">
        <f>IFERROR(INDEX('I2019'!M$5:M$112,MATCH($C77,'I2019'!$A$5:$A$112,0)),"")</f>
        <v>343</v>
      </c>
      <c r="BL77" s="102">
        <f>IFERROR(INDEX('I2020'!B$5:B$113,MATCH($C77,'I2020'!$A$5:$A$113,0)),"")</f>
        <v>343</v>
      </c>
      <c r="BM77" s="102">
        <f>IFERROR(INDEX('I2020'!C$5:C$113,MATCH($C77,'I2020'!$A$5:$A$113,0)),"")</f>
        <v>343</v>
      </c>
      <c r="BN77" s="102">
        <f>IFERROR(INDEX('I2020'!D$5:D$113,MATCH($C77,'I2020'!$A$5:$A$113,0)),"")</f>
        <v>343</v>
      </c>
      <c r="BO77" s="102">
        <f>IFERROR(INDEX('I2020'!E$5:E$113,MATCH($C77,'I2020'!$A$5:$A$113,0)),"")</f>
        <v>0</v>
      </c>
      <c r="BP77" s="102">
        <f>IFERROR(INDEX('I2020'!F$5:F$113,MATCH($C77,'I2020'!$A$5:$A$113,0)),"")</f>
        <v>0</v>
      </c>
      <c r="BQ77" s="392">
        <f>IFERROR(INDEX('I2020'!G$5:G$113,MATCH($C77,'I2020'!$A$5:$A$113,0)),"")</f>
        <v>0</v>
      </c>
      <c r="BR77" s="64"/>
      <c r="BS77" s="64"/>
      <c r="BT77" s="64"/>
      <c r="BU77" s="64"/>
      <c r="BV77" s="64"/>
      <c r="BW77" s="64"/>
      <c r="BX77" s="64"/>
      <c r="BY77" s="64"/>
      <c r="BZ77" s="64"/>
      <c r="CA77" s="64"/>
      <c r="CB77" s="64"/>
      <c r="CC77" s="64"/>
      <c r="CD77" s="64"/>
      <c r="CE77" s="64"/>
      <c r="CF77" s="64"/>
      <c r="CG77" s="64"/>
      <c r="CH77" s="64"/>
      <c r="CI77" s="124"/>
      <c r="CJ77" s="134"/>
    </row>
    <row r="78" spans="1:88" x14ac:dyDescent="0.3">
      <c r="A78" s="33"/>
      <c r="B78" s="68"/>
      <c r="C78" s="21" t="s">
        <v>97</v>
      </c>
      <c r="D78" s="22" t="str">
        <f>IFERROR(INDEX('I2015'!B$5:B$73,MATCH($C78,'I2015'!$A$5:$A$73,0)),"")</f>
        <v/>
      </c>
      <c r="E78" s="22" t="str">
        <f>IFERROR(INDEX('I2015'!C$5:C$73,MATCH($C78,'I2015'!$A$5:$A$73,0)),"")</f>
        <v/>
      </c>
      <c r="F78" s="22" t="str">
        <f>IFERROR(INDEX('I2015'!D$5:D$73,MATCH($C78,'I2015'!$A$5:$A$73,0)),"")</f>
        <v/>
      </c>
      <c r="G78" s="22" t="str">
        <f>IFERROR(INDEX('I2015'!E$5:E$73,MATCH($C78,'I2015'!$A$5:$A$73,0)),"")</f>
        <v/>
      </c>
      <c r="H78" s="22" t="str">
        <f>IFERROR(INDEX('I2015'!F$5:F$73,MATCH($C78,'I2015'!$A$5:$A$73,0)),"")</f>
        <v/>
      </c>
      <c r="I78" s="22" t="str">
        <f>IFERROR(INDEX('I2015'!G$5:G$73,MATCH($C78,'I2015'!$A$5:$A$73,0)),"")</f>
        <v/>
      </c>
      <c r="J78" s="22" t="str">
        <f>IFERROR(INDEX('I2015'!H$5:H$73,MATCH($C78,'I2015'!$A$5:$A$73,0)),"")</f>
        <v/>
      </c>
      <c r="K78" s="22" t="str">
        <f>IFERROR(INDEX('I2015'!I$5:I$73,MATCH($C78,'I2015'!$A$5:$A$73,0)),"")</f>
        <v/>
      </c>
      <c r="L78" s="22" t="str">
        <f>IFERROR(INDEX('I2015'!J$5:J$73,MATCH($C78,'I2015'!$A$5:$A$73,0)),"")</f>
        <v/>
      </c>
      <c r="M78" s="22" t="str">
        <f>IFERROR(INDEX('I2015'!K$5:K$73,MATCH($C78,'I2015'!$A$5:$A$73,0)),"")</f>
        <v/>
      </c>
      <c r="N78" s="22" t="str">
        <f>IFERROR(INDEX('I2015'!L$5:L$73,MATCH($C78,'I2015'!$A$5:$A$73,0)),"")</f>
        <v/>
      </c>
      <c r="O78" s="22" t="str">
        <f>IFERROR(INDEX('I2015'!M$5:M$73,MATCH($C78,'I2015'!$A$5:$A$73,0)),"")</f>
        <v/>
      </c>
      <c r="P78" s="22">
        <f>IFERROR(INDEX('I2016'!B$5:B$90,MATCH($C78,'I2016'!$A$5:$A$90,0)),"")</f>
        <v>2570</v>
      </c>
      <c r="Q78" s="22">
        <f>IFERROR(INDEX('I2016'!C$5:C$90,MATCH($C78,'I2016'!$A$5:$A$90,0)),"")</f>
        <v>5588.22</v>
      </c>
      <c r="R78" s="22">
        <f>IFERROR(INDEX('I2016'!D$5:D$90,MATCH($C78,'I2016'!$A$5:$A$90,0)),"")</f>
        <v>9043.4500000000007</v>
      </c>
      <c r="S78" s="22">
        <f>IFERROR(INDEX('I2016'!E$5:E$90,MATCH($C78,'I2016'!$A$5:$A$90,0)),"")</f>
        <v>8908.5400000000009</v>
      </c>
      <c r="T78" s="22">
        <f>IFERROR(INDEX('I2016'!F$5:F$90,MATCH($C78,'I2016'!$A$5:$A$90,0)),"")</f>
        <v>13437.7</v>
      </c>
      <c r="U78" s="22">
        <f>IFERROR(INDEX('I2016'!G$5:G$90,MATCH($C78,'I2016'!$A$5:$A$90,0)),"")</f>
        <v>9071.32</v>
      </c>
      <c r="V78" s="22">
        <f>IFERROR(INDEX('I2016'!H$5:H$90,MATCH($C78,'I2016'!$A$5:$A$90,0)),"")</f>
        <v>9241.27</v>
      </c>
      <c r="W78" s="22">
        <f>IFERROR(INDEX('I2016'!I$5:I$90,MATCH($C78,'I2016'!$A$5:$A$90,0)),"")</f>
        <v>8811.7999999999993</v>
      </c>
      <c r="X78" s="22">
        <f>IFERROR(INDEX('I2016'!J$5:J$90,MATCH($C78,'I2016'!$A$5:$A$90,0)),"")</f>
        <v>8097.93</v>
      </c>
      <c r="Y78" s="22">
        <f>IFERROR(INDEX('I2016'!K$5:K$90,MATCH($C78,'I2016'!$A$5:$A$90,0)),"")</f>
        <v>15423.66</v>
      </c>
      <c r="Z78" s="22">
        <f>IFERROR(INDEX('I2016'!L$5:L$90,MATCH($C78,'I2016'!$A$5:$A$90,0)),"")</f>
        <v>10892.58</v>
      </c>
      <c r="AA78" s="22">
        <f>IFERROR(INDEX('I2016'!M$5:M$90,MATCH($C78,'I2016'!$A$5:$A$90,0)),"")</f>
        <v>12205.91</v>
      </c>
      <c r="AB78" s="22">
        <f>IFERROR(INDEX('I2017'!B$5:B$96,MATCH($C78,'I2017'!$A$5:$A$96,0)),"")</f>
        <v>11822.16</v>
      </c>
      <c r="AC78" s="22">
        <f>IFERROR(INDEX('I2017'!C$5:C$96,MATCH($C78,'I2017'!$A$5:$A$96,0)),"")</f>
        <v>15165.67</v>
      </c>
      <c r="AD78" s="22">
        <f>IFERROR(INDEX('I2017'!D$5:D$96,MATCH($C78,'I2017'!$A$5:$A$96,0)),"")</f>
        <v>17024.060000000001</v>
      </c>
      <c r="AE78" s="22">
        <f>IFERROR(INDEX('I2017'!E$5:E$96,MATCH($C78,'I2017'!$A$5:$A$96,0)),"")</f>
        <v>28386.98</v>
      </c>
      <c r="AF78" s="22">
        <f>IFERROR(INDEX('I2017'!F$5:F$96,MATCH($C78,'I2017'!$A$5:$A$96,0)),"")</f>
        <v>26180.28</v>
      </c>
      <c r="AG78" s="22">
        <f>IFERROR(INDEX('I2017'!G$5:G$96,MATCH($C78,'I2017'!$A$5:$A$96,0)),"")</f>
        <v>21348.01</v>
      </c>
      <c r="AH78" s="22">
        <f>IFERROR(INDEX('I2017'!H$5:H$96,MATCH($C78,'I2017'!$A$5:$A$96,0)),"")</f>
        <v>22018.31</v>
      </c>
      <c r="AI78" s="22">
        <f>IFERROR(INDEX('I2017'!I$5:I$96,MATCH($C78,'I2017'!$A$5:$A$96,0)),"")</f>
        <v>25202.36</v>
      </c>
      <c r="AJ78" s="22">
        <f>IFERROR(INDEX('I2017'!J$5:J$96,MATCH($C78,'I2017'!$A$5:$A$96,0)),"")</f>
        <v>24022.82</v>
      </c>
      <c r="AK78" s="22">
        <f>IFERROR(INDEX('I2017'!K$5:K$96,MATCH($C78,'I2017'!$A$5:$A$96,0)),"")</f>
        <v>27525.68</v>
      </c>
      <c r="AL78" s="22">
        <f>IFERROR(INDEX('I2017'!L$5:L$96,MATCH($C78,'I2017'!$A$5:$A$96,0)),"")</f>
        <v>44504.52</v>
      </c>
      <c r="AM78" s="22">
        <f>IFERROR(INDEX('I2017'!M$5:M$96,MATCH($C78,'I2017'!$A$5:$A$96,0)),"")</f>
        <v>30615.98</v>
      </c>
      <c r="AN78" s="22">
        <f>IFERROR(INDEX('I2018'!B$5:B$107,MATCH($C78,'I2018'!$A$5:$A$107,0)),"")</f>
        <v>26540.63</v>
      </c>
      <c r="AO78" s="22">
        <f>IFERROR(INDEX('I2018'!C$5:C$107,MATCH($C78,'I2018'!$A$5:$A$107,0)),"")</f>
        <v>29909.72</v>
      </c>
      <c r="AP78" s="22">
        <f>IFERROR(INDEX('I2018'!D$5:D$107,MATCH($C78,'I2018'!$A$5:$A$107,0)),"")</f>
        <v>40553.919999999998</v>
      </c>
      <c r="AQ78" s="22">
        <f>IFERROR(INDEX('I2018'!E$5:E$107,MATCH($C78,'I2018'!$A$5:$A$107,0)),"")</f>
        <v>44078.28</v>
      </c>
      <c r="AR78" s="22">
        <f>IFERROR(INDEX('I2018'!F$5:F$107,MATCH($C78,'I2018'!$A$5:$A$107,0)),"")</f>
        <v>54204.84</v>
      </c>
      <c r="AS78" s="22">
        <f>IFERROR(INDEX('I2018'!G$5:G$107,MATCH($C78,'I2018'!$A$5:$A$107,0)),"")</f>
        <v>27024.560000000001</v>
      </c>
      <c r="AT78" s="22">
        <f>IFERROR(INDEX('I2018'!H$5:H$107,MATCH($C78,'I2018'!$A$5:$A$107,0)),"")</f>
        <v>0</v>
      </c>
      <c r="AU78" s="22">
        <f>IFERROR(INDEX('I2018'!I$5:I$107,MATCH($C78,'I2018'!$A$5:$A$107,0)),"")</f>
        <v>75.400000000000006</v>
      </c>
      <c r="AV78" s="22">
        <f>IFERROR(INDEX('I2018'!J$5:J$107,MATCH($C78,'I2018'!$A$5:$A$107,0)),"")</f>
        <v>0</v>
      </c>
      <c r="AW78" s="22">
        <f>IFERROR(INDEX('I2018'!K$5:K$107,MATCH($C78,'I2018'!$A$5:$A$107,0)),"")</f>
        <v>0</v>
      </c>
      <c r="AX78" s="22">
        <f>IFERROR(INDEX('I2018'!L$5:L$107,MATCH($C78,'I2018'!$A$5:$A$107,0)),"")</f>
        <v>0</v>
      </c>
      <c r="AY78" s="22">
        <f>IFERROR(INDEX('I2018'!M$5:M$107,MATCH($C78,'I2018'!$A$5:$A$107,0)),"")</f>
        <v>0</v>
      </c>
      <c r="AZ78" s="22">
        <f>IFERROR(INDEX('I2019'!B$5:B$112,MATCH($C78,'I2019'!$A$5:$A$112,0)),"")</f>
        <v>0</v>
      </c>
      <c r="BA78" s="22">
        <f>IFERROR(INDEX('I2019'!C$5:C$112,MATCH($C78,'I2019'!$A$5:$A$112,0)),"")</f>
        <v>0</v>
      </c>
      <c r="BB78" s="22">
        <f>IFERROR(INDEX('I2019'!D$5:D$112,MATCH($C78,'I2019'!$A$5:$A$112,0)),"")</f>
        <v>0</v>
      </c>
      <c r="BC78" s="22">
        <f>IFERROR(INDEX('I2019'!E$5:E$112,MATCH($C78,'I2019'!$A$5:$A$112,0)),"")</f>
        <v>0</v>
      </c>
      <c r="BD78" s="22">
        <f>IFERROR(INDEX('I2019'!F$5:F$112,MATCH($C78,'I2019'!$A$5:$A$112,0)),"")</f>
        <v>0</v>
      </c>
      <c r="BE78" s="22">
        <f>IFERROR(INDEX('I2019'!G$5:G$112,MATCH($C78,'I2019'!$A$5:$A$112,0)),"")</f>
        <v>0</v>
      </c>
      <c r="BF78" s="22">
        <f>IFERROR(INDEX('I2019'!H$5:H$112,MATCH($C78,'I2019'!$A$5:$A$112,0)),"")</f>
        <v>0</v>
      </c>
      <c r="BG78" s="22">
        <f>IFERROR(INDEX('I2019'!I$5:I$112,MATCH($C78,'I2019'!$A$5:$A$112,0)),"")</f>
        <v>0</v>
      </c>
      <c r="BH78" s="22">
        <f>IFERROR(INDEX('I2019'!J$5:J$112,MATCH($C78,'I2019'!$A$5:$A$112,0)),"")</f>
        <v>9483.34</v>
      </c>
      <c r="BI78" s="22">
        <f>IFERROR(INDEX('I2019'!K$5:K$112,MATCH($C78,'I2019'!$A$5:$A$112,0)),"")</f>
        <v>10469.98</v>
      </c>
      <c r="BJ78" s="22">
        <f>IFERROR(INDEX('I2019'!L$5:L$112,MATCH($C78,'I2019'!$A$5:$A$112,0)),"")</f>
        <v>8905.02</v>
      </c>
      <c r="BK78" s="22">
        <f>IFERROR(INDEX('I2019'!M$5:M$112,MATCH($C78,'I2019'!$A$5:$A$112,0)),"")</f>
        <v>8772.92</v>
      </c>
      <c r="BL78" s="22">
        <f>IFERROR(INDEX('I2020'!B$5:B$113,MATCH($C78,'I2020'!$A$5:$A$113,0)),"")</f>
        <v>8560.42</v>
      </c>
      <c r="BM78" s="22">
        <f>IFERROR(INDEX('I2020'!C$5:C$113,MATCH($C78,'I2020'!$A$5:$A$113,0)),"")</f>
        <v>21551.25</v>
      </c>
      <c r="BN78" s="22">
        <f>IFERROR(INDEX('I2020'!D$5:D$113,MATCH($C78,'I2020'!$A$5:$A$113,0)),"")</f>
        <v>18015.580000000002</v>
      </c>
      <c r="BO78" s="22">
        <f>IFERROR(INDEX('I2020'!E$5:E$113,MATCH($C78,'I2020'!$A$5:$A$113,0)),"")</f>
        <v>33997.5</v>
      </c>
      <c r="BP78" s="22">
        <f>IFERROR(INDEX('I2020'!F$5:F$113,MATCH($C78,'I2020'!$A$5:$A$113,0)),"")</f>
        <v>12934.17</v>
      </c>
      <c r="BQ78" s="393">
        <f>IFERROR(INDEX('I2020'!G$5:G$113,MATCH($C78,'I2020'!$A$5:$A$113,0)),"")</f>
        <v>0</v>
      </c>
      <c r="BR78" s="65"/>
      <c r="BS78" s="65"/>
      <c r="BT78" s="65"/>
      <c r="BU78" s="65"/>
      <c r="BV78" s="65"/>
      <c r="BW78" s="65"/>
      <c r="BX78" s="65"/>
      <c r="BY78" s="65"/>
      <c r="BZ78" s="65"/>
      <c r="CA78" s="65"/>
      <c r="CB78" s="65"/>
      <c r="CC78" s="65"/>
      <c r="CD78" s="65"/>
      <c r="CE78" s="65"/>
      <c r="CF78" s="65"/>
      <c r="CG78" s="65"/>
      <c r="CH78" s="65"/>
      <c r="CI78" s="125"/>
      <c r="CJ78" s="134"/>
    </row>
    <row r="79" spans="1:88" x14ac:dyDescent="0.3">
      <c r="A79" s="33" t="s">
        <v>255</v>
      </c>
      <c r="B79" s="62">
        <v>6.0000000000000001E-3</v>
      </c>
      <c r="C79" s="26" t="s">
        <v>58</v>
      </c>
      <c r="D79" s="78" t="str">
        <f>IFERROR(INDEX('I2015'!B$5:B$73,MATCH($C79,'I2015'!$A$5:$A$73,0)),"")</f>
        <v/>
      </c>
      <c r="E79" s="78" t="str">
        <f>IFERROR(INDEX('I2015'!C$5:C$73,MATCH($C79,'I2015'!$A$5:$A$73,0)),"")</f>
        <v/>
      </c>
      <c r="F79" s="78" t="str">
        <f>IFERROR(INDEX('I2015'!D$5:D$73,MATCH($C79,'I2015'!$A$5:$A$73,0)),"")</f>
        <v/>
      </c>
      <c r="G79" s="78" t="str">
        <f>IFERROR(INDEX('I2015'!E$5:E$73,MATCH($C79,'I2015'!$A$5:$A$73,0)),"")</f>
        <v/>
      </c>
      <c r="H79" s="78" t="str">
        <f>IFERROR(INDEX('I2015'!F$5:F$73,MATCH($C79,'I2015'!$A$5:$A$73,0)),"")</f>
        <v/>
      </c>
      <c r="I79" s="78" t="str">
        <f>IFERROR(INDEX('I2015'!G$5:G$73,MATCH($C79,'I2015'!$A$5:$A$73,0)),"")</f>
        <v/>
      </c>
      <c r="J79" s="78" t="str">
        <f>IFERROR(INDEX('I2015'!H$5:H$73,MATCH($C79,'I2015'!$A$5:$A$73,0)),"")</f>
        <v/>
      </c>
      <c r="K79" s="78" t="str">
        <f>IFERROR(INDEX('I2015'!I$5:I$73,MATCH($C79,'I2015'!$A$5:$A$73,0)),"")</f>
        <v/>
      </c>
      <c r="L79" s="78" t="str">
        <f>IFERROR(INDEX('I2015'!J$5:J$73,MATCH($C79,'I2015'!$A$5:$A$73,0)),"")</f>
        <v/>
      </c>
      <c r="M79" s="78" t="str">
        <f>IFERROR(INDEX('I2015'!K$5:K$73,MATCH($C79,'I2015'!$A$5:$A$73,0)),"")</f>
        <v/>
      </c>
      <c r="N79" s="78" t="str">
        <f>IFERROR(INDEX('I2015'!L$5:L$73,MATCH($C79,'I2015'!$A$5:$A$73,0)),"")</f>
        <v/>
      </c>
      <c r="O79" s="78" t="str">
        <f>IFERROR(INDEX('I2015'!M$5:M$73,MATCH($C79,'I2015'!$A$5:$A$73,0)),"")</f>
        <v/>
      </c>
      <c r="P79" s="78">
        <f>IFERROR(INDEX('I2016'!B$5:B$90,MATCH($C79,'I2016'!$A$5:$A$90,0)),"")</f>
        <v>422</v>
      </c>
      <c r="Q79" s="78">
        <f>IFERROR(INDEX('I2016'!C$5:C$90,MATCH($C79,'I2016'!$A$5:$A$90,0)),"")</f>
        <v>247</v>
      </c>
      <c r="R79" s="78">
        <f>IFERROR(INDEX('I2016'!D$5:D$90,MATCH($C79,'I2016'!$A$5:$A$90,0)),"")</f>
        <v>560</v>
      </c>
      <c r="S79" s="78">
        <f>IFERROR(INDEX('I2016'!E$5:E$90,MATCH($C79,'I2016'!$A$5:$A$90,0)),"")</f>
        <v>2215</v>
      </c>
      <c r="T79" s="78">
        <f>IFERROR(INDEX('I2016'!F$5:F$90,MATCH($C79,'I2016'!$A$5:$A$90,0)),"")</f>
        <v>1985</v>
      </c>
      <c r="U79" s="78">
        <f>IFERROR(INDEX('I2016'!G$5:G$90,MATCH($C79,'I2016'!$A$5:$A$90,0)),"")</f>
        <v>2500</v>
      </c>
      <c r="V79" s="78">
        <f>IFERROR(INDEX('I2016'!H$5:H$90,MATCH($C79,'I2016'!$A$5:$A$90,0)),"")</f>
        <v>3493</v>
      </c>
      <c r="W79" s="78">
        <f>IFERROR(INDEX('I2016'!I$5:I$90,MATCH($C79,'I2016'!$A$5:$A$90,0)),"")</f>
        <v>149</v>
      </c>
      <c r="X79" s="78">
        <f>IFERROR(INDEX('I2016'!J$5:J$90,MATCH($C79,'I2016'!$A$5:$A$90,0)),"")</f>
        <v>3000</v>
      </c>
      <c r="Y79" s="78">
        <f>IFERROR(INDEX('I2016'!K$5:K$90,MATCH($C79,'I2016'!$A$5:$A$90,0)),"")</f>
        <v>250</v>
      </c>
      <c r="Z79" s="78">
        <f>IFERROR(INDEX('I2016'!L$5:L$90,MATCH($C79,'I2016'!$A$5:$A$90,0)),"")</f>
        <v>600</v>
      </c>
      <c r="AA79" s="78">
        <f>IFERROR(INDEX('I2016'!M$5:M$90,MATCH($C79,'I2016'!$A$5:$A$90,0)),"")</f>
        <v>327.2</v>
      </c>
      <c r="AB79" s="78">
        <f>IFERROR(INDEX('I2017'!B$5:B$96,MATCH($C79,'I2017'!$A$5:$A$96,0)),"")</f>
        <v>350</v>
      </c>
      <c r="AC79" s="78">
        <f>IFERROR(INDEX('I2017'!C$5:C$96,MATCH($C79,'I2017'!$A$5:$A$96,0)),"")</f>
        <v>1054</v>
      </c>
      <c r="AD79" s="78">
        <f>IFERROR(INDEX('I2017'!D$5:D$96,MATCH($C79,'I2017'!$A$5:$A$96,0)),"")</f>
        <v>54</v>
      </c>
      <c r="AE79" s="78">
        <f>IFERROR(INDEX('I2017'!E$5:E$96,MATCH($C79,'I2017'!$A$5:$A$96,0)),"")</f>
        <v>3927.5</v>
      </c>
      <c r="AF79" s="78">
        <f>IFERROR(INDEX('I2017'!F$5:F$96,MATCH($C79,'I2017'!$A$5:$A$96,0)),"")</f>
        <v>0</v>
      </c>
      <c r="AG79" s="78">
        <f>IFERROR(INDEX('I2017'!G$5:G$96,MATCH($C79,'I2017'!$A$5:$A$96,0)),"")</f>
        <v>1091.5</v>
      </c>
      <c r="AH79" s="78">
        <f>IFERROR(INDEX('I2017'!H$5:H$96,MATCH($C79,'I2017'!$A$5:$A$96,0)),"")</f>
        <v>7561</v>
      </c>
      <c r="AI79" s="78">
        <f>IFERROR(INDEX('I2017'!I$5:I$96,MATCH($C79,'I2017'!$A$5:$A$96,0)),"")</f>
        <v>6658.5</v>
      </c>
      <c r="AJ79" s="78">
        <f>IFERROR(INDEX('I2017'!J$5:J$96,MATCH($C79,'I2017'!$A$5:$A$96,0)),"")</f>
        <v>5993.31</v>
      </c>
      <c r="AK79" s="78">
        <f>IFERROR(INDEX('I2017'!K$5:K$96,MATCH($C79,'I2017'!$A$5:$A$96,0)),"")</f>
        <v>4022</v>
      </c>
      <c r="AL79" s="78">
        <f>IFERROR(INDEX('I2017'!L$5:L$96,MATCH($C79,'I2017'!$A$5:$A$96,0)),"")</f>
        <v>54</v>
      </c>
      <c r="AM79" s="78">
        <f>IFERROR(INDEX('I2017'!M$5:M$96,MATCH($C79,'I2017'!$A$5:$A$96,0)),"")</f>
        <v>2331.6999999999998</v>
      </c>
      <c r="AN79" s="78">
        <f>IFERROR(INDEX('I2018'!B$5:B$107,MATCH($C79,'I2018'!$A$5:$A$107,0)),"")</f>
        <v>54</v>
      </c>
      <c r="AO79" s="78">
        <f>IFERROR(INDEX('I2018'!C$5:C$107,MATCH($C79,'I2018'!$A$5:$A$107,0)),"")</f>
        <v>4184.46</v>
      </c>
      <c r="AP79" s="78">
        <f>IFERROR(INDEX('I2018'!D$5:D$107,MATCH($C79,'I2018'!$A$5:$A$107,0)),"")</f>
        <v>6524.5</v>
      </c>
      <c r="AQ79" s="78">
        <f>IFERROR(INDEX('I2018'!E$5:E$107,MATCH($C79,'I2018'!$A$5:$A$107,0)),"")</f>
        <v>1618</v>
      </c>
      <c r="AR79" s="78">
        <f>IFERROR(INDEX('I2018'!F$5:F$107,MATCH($C79,'I2018'!$A$5:$A$107,0)),"")</f>
        <v>6269.94</v>
      </c>
      <c r="AS79" s="78">
        <f>IFERROR(INDEX('I2018'!G$5:G$107,MATCH($C79,'I2018'!$A$5:$A$107,0)),"")</f>
        <v>2443.9</v>
      </c>
      <c r="AT79" s="78">
        <f>IFERROR(INDEX('I2018'!H$5:H$107,MATCH($C79,'I2018'!$A$5:$A$107,0)),"")</f>
        <v>1062</v>
      </c>
      <c r="AU79" s="78">
        <f>IFERROR(INDEX('I2018'!I$5:I$107,MATCH($C79,'I2018'!$A$5:$A$107,0)),"")</f>
        <v>3739</v>
      </c>
      <c r="AV79" s="78">
        <f>IFERROR(INDEX('I2018'!J$5:J$107,MATCH($C79,'I2018'!$A$5:$A$107,0)),"")</f>
        <v>1187.58</v>
      </c>
      <c r="AW79" s="78">
        <f>IFERROR(INDEX('I2018'!K$5:K$107,MATCH($C79,'I2018'!$A$5:$A$107,0)),"")</f>
        <v>7246.15</v>
      </c>
      <c r="AX79" s="78">
        <f>IFERROR(INDEX('I2018'!L$5:L$107,MATCH($C79,'I2018'!$A$5:$A$107,0)),"")</f>
        <v>9038.7000000000007</v>
      </c>
      <c r="AY79" s="78">
        <f>IFERROR(INDEX('I2018'!M$5:M$107,MATCH($C79,'I2018'!$A$5:$A$107,0)),"")</f>
        <v>5515.66</v>
      </c>
      <c r="AZ79" s="78">
        <f>IFERROR(INDEX('I2019'!B$5:B$112,MATCH($C79,'I2019'!$A$5:$A$112,0)),"")</f>
        <v>6719.63</v>
      </c>
      <c r="BA79" s="78">
        <f>IFERROR(INDEX('I2019'!C$5:C$112,MATCH($C79,'I2019'!$A$5:$A$112,0)),"")</f>
        <v>5992.5</v>
      </c>
      <c r="BB79" s="78">
        <f>IFERROR(INDEX('I2019'!D$5:D$112,MATCH($C79,'I2019'!$A$5:$A$112,0)),"")</f>
        <v>5352.45</v>
      </c>
      <c r="BC79" s="78">
        <f>IFERROR(INDEX('I2019'!E$5:E$112,MATCH($C79,'I2019'!$A$5:$A$112,0)),"")</f>
        <v>6039.5</v>
      </c>
      <c r="BD79" s="78">
        <f>IFERROR(INDEX('I2019'!F$5:F$112,MATCH($C79,'I2019'!$A$5:$A$112,0)),"")</f>
        <v>7880.5</v>
      </c>
      <c r="BE79" s="78">
        <f>IFERROR(INDEX('I2019'!G$5:G$112,MATCH($C79,'I2019'!$A$5:$A$112,0)),"")</f>
        <v>7051.5</v>
      </c>
      <c r="BF79" s="78">
        <f>IFERROR(INDEX('I2019'!H$5:H$112,MATCH($C79,'I2019'!$A$5:$A$112,0)),"")</f>
        <v>11377.5</v>
      </c>
      <c r="BG79" s="78">
        <f>IFERROR(INDEX('I2019'!I$5:I$112,MATCH($C79,'I2019'!$A$5:$A$112,0)),"")</f>
        <v>12775.470000000001</v>
      </c>
      <c r="BH79" s="78">
        <f>IFERROR(INDEX('I2019'!J$5:J$112,MATCH($C79,'I2019'!$A$5:$A$112,0)),"")</f>
        <v>19929.84</v>
      </c>
      <c r="BI79" s="78">
        <f>IFERROR(INDEX('I2019'!K$5:K$112,MATCH($C79,'I2019'!$A$5:$A$112,0)),"")</f>
        <v>16627.43</v>
      </c>
      <c r="BJ79" s="78">
        <f>IFERROR(INDEX('I2019'!L$5:L$112,MATCH($C79,'I2019'!$A$5:$A$112,0)),"")</f>
        <v>21352.67</v>
      </c>
      <c r="BK79" s="78">
        <f>IFERROR(INDEX('I2019'!M$5:M$112,MATCH($C79,'I2019'!$A$5:$A$112,0)),"")</f>
        <v>19402.72</v>
      </c>
      <c r="BL79" s="78">
        <f>IFERROR(INDEX('I2020'!B$5:B$113,MATCH($C79,'I2020'!$A$5:$A$113,0)),"")</f>
        <v>16509.72</v>
      </c>
      <c r="BM79" s="78">
        <f>IFERROR(INDEX('I2020'!C$5:C$113,MATCH($C79,'I2020'!$A$5:$A$113,0)),"")</f>
        <v>35985.75</v>
      </c>
      <c r="BN79" s="78">
        <f>IFERROR(INDEX('I2020'!D$5:D$113,MATCH($C79,'I2020'!$A$5:$A$113,0)),"")</f>
        <v>42506.880000000005</v>
      </c>
      <c r="BO79" s="78">
        <f>IFERROR(INDEX('I2020'!E$5:E$113,MATCH($C79,'I2020'!$A$5:$A$113,0)),"")</f>
        <v>57095.3</v>
      </c>
      <c r="BP79" s="78">
        <f>IFERROR(INDEX('I2020'!F$5:F$113,MATCH($C79,'I2020'!$A$5:$A$113,0)),"")</f>
        <v>25668.66</v>
      </c>
      <c r="BQ79" s="398">
        <f>IFERROR(INDEX('I2020'!G$5:G$113,MATCH($C79,'I2020'!$A$5:$A$113,0)),"")</f>
        <v>26518.71</v>
      </c>
      <c r="BR79" s="153">
        <f t="shared" ref="BQ79:CI79" si="87">$B79*BR$31</f>
        <v>16959.543545809924</v>
      </c>
      <c r="BS79" s="153">
        <f t="shared" si="87"/>
        <v>17197.662019206455</v>
      </c>
      <c r="BT79" s="153">
        <f t="shared" si="87"/>
        <v>17605.958428877191</v>
      </c>
      <c r="BU79" s="153">
        <f t="shared" si="87"/>
        <v>18163.465285424503</v>
      </c>
      <c r="BV79" s="153">
        <f t="shared" si="87"/>
        <v>18854.192683201716</v>
      </c>
      <c r="BW79" s="153">
        <f t="shared" si="87"/>
        <v>19666.179828715212</v>
      </c>
      <c r="BX79" s="153">
        <f t="shared" si="87"/>
        <v>20384.511930358323</v>
      </c>
      <c r="BY79" s="153">
        <f t="shared" si="87"/>
        <v>21028.951132683596</v>
      </c>
      <c r="BZ79" s="153">
        <f t="shared" si="87"/>
        <v>21615.322618369773</v>
      </c>
      <c r="CA79" s="153">
        <f t="shared" si="87"/>
        <v>22156.302232602055</v>
      </c>
      <c r="CB79" s="153">
        <f t="shared" si="87"/>
        <v>22662.046586056476</v>
      </c>
      <c r="CC79" s="153">
        <f t="shared" si="87"/>
        <v>23140.697140819633</v>
      </c>
      <c r="CD79" s="153">
        <f t="shared" si="87"/>
        <v>23598.783482709776</v>
      </c>
      <c r="CE79" s="153">
        <f t="shared" si="87"/>
        <v>24041.5459427727</v>
      </c>
      <c r="CF79" s="153">
        <f t="shared" si="87"/>
        <v>24473.193698172116</v>
      </c>
      <c r="CG79" s="153">
        <f t="shared" si="87"/>
        <v>24897.111256650951</v>
      </c>
      <c r="CH79" s="153">
        <f t="shared" si="87"/>
        <v>25316.023647905717</v>
      </c>
      <c r="CI79" s="154">
        <f t="shared" si="87"/>
        <v>25732.128580548309</v>
      </c>
      <c r="CJ79" s="289"/>
    </row>
    <row r="80" spans="1:88" x14ac:dyDescent="0.3">
      <c r="A80" s="33"/>
      <c r="B80" s="68"/>
      <c r="C80" s="21" t="s">
        <v>59</v>
      </c>
      <c r="D80" s="102" t="str">
        <f>IFERROR(INDEX('I2015'!B$5:B$73,MATCH($C80,'I2015'!$A$5:$A$73,0)),"")</f>
        <v/>
      </c>
      <c r="E80" s="102" t="str">
        <f>IFERROR(INDEX('I2015'!C$5:C$73,MATCH($C80,'I2015'!$A$5:$A$73,0)),"")</f>
        <v/>
      </c>
      <c r="F80" s="102" t="str">
        <f>IFERROR(INDEX('I2015'!D$5:D$73,MATCH($C80,'I2015'!$A$5:$A$73,0)),"")</f>
        <v/>
      </c>
      <c r="G80" s="102" t="str">
        <f>IFERROR(INDEX('I2015'!E$5:E$73,MATCH($C80,'I2015'!$A$5:$A$73,0)),"")</f>
        <v/>
      </c>
      <c r="H80" s="102" t="str">
        <f>IFERROR(INDEX('I2015'!F$5:F$73,MATCH($C80,'I2015'!$A$5:$A$73,0)),"")</f>
        <v/>
      </c>
      <c r="I80" s="102" t="str">
        <f>IFERROR(INDEX('I2015'!G$5:G$73,MATCH($C80,'I2015'!$A$5:$A$73,0)),"")</f>
        <v/>
      </c>
      <c r="J80" s="102" t="str">
        <f>IFERROR(INDEX('I2015'!H$5:H$73,MATCH($C80,'I2015'!$A$5:$A$73,0)),"")</f>
        <v/>
      </c>
      <c r="K80" s="102" t="str">
        <f>IFERROR(INDEX('I2015'!I$5:I$73,MATCH($C80,'I2015'!$A$5:$A$73,0)),"")</f>
        <v/>
      </c>
      <c r="L80" s="102" t="str">
        <f>IFERROR(INDEX('I2015'!J$5:J$73,MATCH($C80,'I2015'!$A$5:$A$73,0)),"")</f>
        <v/>
      </c>
      <c r="M80" s="102" t="str">
        <f>IFERROR(INDEX('I2015'!K$5:K$73,MATCH($C80,'I2015'!$A$5:$A$73,0)),"")</f>
        <v/>
      </c>
      <c r="N80" s="102" t="str">
        <f>IFERROR(INDEX('I2015'!L$5:L$73,MATCH($C80,'I2015'!$A$5:$A$73,0)),"")</f>
        <v/>
      </c>
      <c r="O80" s="102" t="str">
        <f>IFERROR(INDEX('I2015'!M$5:M$73,MATCH($C80,'I2015'!$A$5:$A$73,0)),"")</f>
        <v/>
      </c>
      <c r="P80" s="102">
        <f>IFERROR(INDEX('I2016'!B$5:B$90,MATCH($C80,'I2016'!$A$5:$A$90,0)),"")</f>
        <v>0</v>
      </c>
      <c r="Q80" s="102">
        <f>IFERROR(INDEX('I2016'!C$5:C$90,MATCH($C80,'I2016'!$A$5:$A$90,0)),"")</f>
        <v>0</v>
      </c>
      <c r="R80" s="102">
        <f>IFERROR(INDEX('I2016'!D$5:D$90,MATCH($C80,'I2016'!$A$5:$A$90,0)),"")</f>
        <v>0</v>
      </c>
      <c r="S80" s="102">
        <f>IFERROR(INDEX('I2016'!E$5:E$90,MATCH($C80,'I2016'!$A$5:$A$90,0)),"")</f>
        <v>0</v>
      </c>
      <c r="T80" s="102">
        <f>IFERROR(INDEX('I2016'!F$5:F$90,MATCH($C80,'I2016'!$A$5:$A$90,0)),"")</f>
        <v>35</v>
      </c>
      <c r="U80" s="102">
        <f>IFERROR(INDEX('I2016'!G$5:G$90,MATCH($C80,'I2016'!$A$5:$A$90,0)),"")</f>
        <v>0</v>
      </c>
      <c r="V80" s="102">
        <f>IFERROR(INDEX('I2016'!H$5:H$90,MATCH($C80,'I2016'!$A$5:$A$90,0)),"")</f>
        <v>70</v>
      </c>
      <c r="W80" s="102">
        <f>IFERROR(INDEX('I2016'!I$5:I$90,MATCH($C80,'I2016'!$A$5:$A$90,0)),"")</f>
        <v>140</v>
      </c>
      <c r="X80" s="102">
        <f>IFERROR(INDEX('I2016'!J$5:J$90,MATCH($C80,'I2016'!$A$5:$A$90,0)),"")</f>
        <v>105</v>
      </c>
      <c r="Y80" s="102">
        <f>IFERROR(INDEX('I2016'!K$5:K$90,MATCH($C80,'I2016'!$A$5:$A$90,0)),"")</f>
        <v>140</v>
      </c>
      <c r="Z80" s="102">
        <f>IFERROR(INDEX('I2016'!L$5:L$90,MATCH($C80,'I2016'!$A$5:$A$90,0)),"")</f>
        <v>140</v>
      </c>
      <c r="AA80" s="102">
        <f>IFERROR(INDEX('I2016'!M$5:M$90,MATCH($C80,'I2016'!$A$5:$A$90,0)),"")</f>
        <v>175</v>
      </c>
      <c r="AB80" s="102">
        <f>IFERROR(INDEX('I2017'!B$5:B$96,MATCH($C80,'I2017'!$A$5:$A$96,0)),"")</f>
        <v>70</v>
      </c>
      <c r="AC80" s="102">
        <f>IFERROR(INDEX('I2017'!C$5:C$96,MATCH($C80,'I2017'!$A$5:$A$96,0)),"")</f>
        <v>0</v>
      </c>
      <c r="AD80" s="102">
        <f>IFERROR(INDEX('I2017'!D$5:D$96,MATCH($C80,'I2017'!$A$5:$A$96,0)),"")</f>
        <v>255</v>
      </c>
      <c r="AE80" s="102">
        <f>IFERROR(INDEX('I2017'!E$5:E$96,MATCH($C80,'I2017'!$A$5:$A$96,0)),"")</f>
        <v>122.5</v>
      </c>
      <c r="AF80" s="102">
        <f>IFERROR(INDEX('I2017'!F$5:F$96,MATCH($C80,'I2017'!$A$5:$A$96,0)),"")</f>
        <v>80</v>
      </c>
      <c r="AG80" s="102">
        <f>IFERROR(INDEX('I2017'!G$5:G$96,MATCH($C80,'I2017'!$A$5:$A$96,0)),"")</f>
        <v>322.5</v>
      </c>
      <c r="AH80" s="102">
        <f>IFERROR(INDEX('I2017'!H$5:H$96,MATCH($C80,'I2017'!$A$5:$A$96,0)),"")</f>
        <v>245</v>
      </c>
      <c r="AI80" s="102">
        <f>IFERROR(INDEX('I2017'!I$5:I$96,MATCH($C80,'I2017'!$A$5:$A$96,0)),"")</f>
        <v>105</v>
      </c>
      <c r="AJ80" s="102">
        <f>IFERROR(INDEX('I2017'!J$5:J$96,MATCH($C80,'I2017'!$A$5:$A$96,0)),"")</f>
        <v>140</v>
      </c>
      <c r="AK80" s="102">
        <f>IFERROR(INDEX('I2017'!K$5:K$96,MATCH($C80,'I2017'!$A$5:$A$96,0)),"")</f>
        <v>140</v>
      </c>
      <c r="AL80" s="102">
        <f>IFERROR(INDEX('I2017'!L$5:L$96,MATCH($C80,'I2017'!$A$5:$A$96,0)),"")</f>
        <v>0</v>
      </c>
      <c r="AM80" s="102">
        <f>IFERROR(INDEX('I2017'!M$5:M$96,MATCH($C80,'I2017'!$A$5:$A$96,0)),"")</f>
        <v>0</v>
      </c>
      <c r="AN80" s="102">
        <f>IFERROR(INDEX('I2018'!B$5:B$107,MATCH($C80,'I2018'!$A$5:$A$107,0)),"")</f>
        <v>105</v>
      </c>
      <c r="AO80" s="102">
        <f>IFERROR(INDEX('I2018'!C$5:C$107,MATCH($C80,'I2018'!$A$5:$A$107,0)),"")</f>
        <v>320</v>
      </c>
      <c r="AP80" s="102">
        <f>IFERROR(INDEX('I2018'!D$5:D$107,MATCH($C80,'I2018'!$A$5:$A$107,0)),"")</f>
        <v>1520</v>
      </c>
      <c r="AQ80" s="102">
        <f>IFERROR(INDEX('I2018'!E$5:E$107,MATCH($C80,'I2018'!$A$5:$A$107,0)),"")</f>
        <v>916.38</v>
      </c>
      <c r="AR80" s="102">
        <f>IFERROR(INDEX('I2018'!F$5:F$107,MATCH($C80,'I2018'!$A$5:$A$107,0)),"")</f>
        <v>1265</v>
      </c>
      <c r="AS80" s="102">
        <f>IFERROR(INDEX('I2018'!G$5:G$107,MATCH($C80,'I2018'!$A$5:$A$107,0)),"")</f>
        <v>1260</v>
      </c>
      <c r="AT80" s="102">
        <f>IFERROR(INDEX('I2018'!H$5:H$107,MATCH($C80,'I2018'!$A$5:$A$107,0)),"")</f>
        <v>1517.97</v>
      </c>
      <c r="AU80" s="102">
        <f>IFERROR(INDEX('I2018'!I$5:I$107,MATCH($C80,'I2018'!$A$5:$A$107,0)),"")</f>
        <v>1837.96</v>
      </c>
      <c r="AV80" s="102">
        <f>IFERROR(INDEX('I2018'!J$5:J$107,MATCH($C80,'I2018'!$A$5:$A$107,0)),"")</f>
        <v>1579.12</v>
      </c>
      <c r="AW80" s="102">
        <f>IFERROR(INDEX('I2018'!K$5:K$107,MATCH($C80,'I2018'!$A$5:$A$107,0)),"")</f>
        <v>521.63</v>
      </c>
      <c r="AX80" s="102">
        <f>IFERROR(INDEX('I2018'!L$5:L$107,MATCH($C80,'I2018'!$A$5:$A$107,0)),"")</f>
        <v>6965.18</v>
      </c>
      <c r="AY80" s="102">
        <f>IFERROR(INDEX('I2018'!M$5:M$107,MATCH($C80,'I2018'!$A$5:$A$107,0)),"")</f>
        <v>585.27</v>
      </c>
      <c r="AZ80" s="102">
        <f>IFERROR(INDEX('I2019'!B$5:B$112,MATCH($C80,'I2019'!$A$5:$A$112,0)),"")</f>
        <v>1347.36</v>
      </c>
      <c r="BA80" s="102">
        <f>IFERROR(INDEX('I2019'!C$5:C$112,MATCH($C80,'I2019'!$A$5:$A$112,0)),"")</f>
        <v>2009.36</v>
      </c>
      <c r="BB80" s="102">
        <f>IFERROR(INDEX('I2019'!D$5:D$112,MATCH($C80,'I2019'!$A$5:$A$112,0)),"")</f>
        <v>2753.67</v>
      </c>
      <c r="BC80" s="102">
        <f>IFERROR(INDEX('I2019'!E$5:E$112,MATCH($C80,'I2019'!$A$5:$A$112,0)),"")</f>
        <v>5937.48</v>
      </c>
      <c r="BD80" s="102">
        <f>IFERROR(INDEX('I2019'!F$5:F$112,MATCH($C80,'I2019'!$A$5:$A$112,0)),"")</f>
        <v>4820.7</v>
      </c>
      <c r="BE80" s="102">
        <f>IFERROR(INDEX('I2019'!G$5:G$112,MATCH($C80,'I2019'!$A$5:$A$112,0)),"")</f>
        <v>2420.27</v>
      </c>
      <c r="BF80" s="102">
        <f>IFERROR(INDEX('I2019'!H$5:H$112,MATCH($C80,'I2019'!$A$5:$A$112,0)),"")</f>
        <v>4662.8100000000004</v>
      </c>
      <c r="BG80" s="102">
        <f>IFERROR(INDEX('I2019'!I$5:I$112,MATCH($C80,'I2019'!$A$5:$A$112,0)),"")</f>
        <v>4105.83</v>
      </c>
      <c r="BH80" s="102">
        <f>IFERROR(INDEX('I2019'!J$5:J$112,MATCH($C80,'I2019'!$A$5:$A$112,0)),"")</f>
        <v>5604.3</v>
      </c>
      <c r="BI80" s="102">
        <f>IFERROR(INDEX('I2019'!K$5:K$112,MATCH($C80,'I2019'!$A$5:$A$112,0)),"")</f>
        <v>4356.46</v>
      </c>
      <c r="BJ80" s="102">
        <f>IFERROR(INDEX('I2019'!L$5:L$112,MATCH($C80,'I2019'!$A$5:$A$112,0)),"")</f>
        <v>5002.82</v>
      </c>
      <c r="BK80" s="102">
        <f>IFERROR(INDEX('I2019'!M$5:M$112,MATCH($C80,'I2019'!$A$5:$A$112,0)),"")</f>
        <v>4765.8100000000004</v>
      </c>
      <c r="BL80" s="102">
        <f>IFERROR(INDEX('I2020'!B$5:B$113,MATCH($C80,'I2020'!$A$5:$A$113,0)),"")</f>
        <v>6792.86</v>
      </c>
      <c r="BM80" s="102">
        <f>IFERROR(INDEX('I2020'!C$5:C$113,MATCH($C80,'I2020'!$A$5:$A$113,0)),"")</f>
        <v>2777.31</v>
      </c>
      <c r="BN80" s="102">
        <f>IFERROR(INDEX('I2020'!D$5:D$113,MATCH($C80,'I2020'!$A$5:$A$113,0)),"")</f>
        <v>1791.26</v>
      </c>
      <c r="BO80" s="102">
        <f>IFERROR(INDEX('I2020'!E$5:E$113,MATCH($C80,'I2020'!$A$5:$A$113,0)),"")</f>
        <v>170.54</v>
      </c>
      <c r="BP80" s="102">
        <f>IFERROR(INDEX('I2020'!F$5:F$113,MATCH($C80,'I2020'!$A$5:$A$113,0)),"")</f>
        <v>1166.3</v>
      </c>
      <c r="BQ80" s="392">
        <f>IFERROR(INDEX('I2020'!G$5:G$113,MATCH($C80,'I2020'!$A$5:$A$113,0)),"")</f>
        <v>882.84</v>
      </c>
      <c r="BR80" s="64">
        <f t="shared" ref="BQ80:CB83" si="88">SUM($AZ80:$BK80)/SUM($AZ$79:$BK$79)*BR$79</f>
        <v>5768.2109540371985</v>
      </c>
      <c r="BS80" s="64">
        <f t="shared" si="88"/>
        <v>5849.1988404678941</v>
      </c>
      <c r="BT80" s="64">
        <f t="shared" si="88"/>
        <v>5988.0669542467385</v>
      </c>
      <c r="BU80" s="64">
        <f t="shared" si="88"/>
        <v>6177.6839181821606</v>
      </c>
      <c r="BV80" s="64">
        <f t="shared" si="88"/>
        <v>6412.6113106175826</v>
      </c>
      <c r="BW80" s="64">
        <f t="shared" si="88"/>
        <v>6688.7810751302322</v>
      </c>
      <c r="BX80" s="64">
        <f t="shared" si="88"/>
        <v>6933.0972671398958</v>
      </c>
      <c r="BY80" s="64">
        <f t="shared" si="88"/>
        <v>7152.2813068531605</v>
      </c>
      <c r="BZ80" s="64">
        <f t="shared" si="88"/>
        <v>7351.7155910208921</v>
      </c>
      <c r="CA80" s="64">
        <f t="shared" si="88"/>
        <v>7535.7113765381509</v>
      </c>
      <c r="CB80" s="64">
        <f t="shared" si="88"/>
        <v>7707.7230885077815</v>
      </c>
      <c r="CC80" s="64">
        <f t="shared" ref="CC80:CI83" si="89">SUM($AZ80:$BK80)/SUM($AZ$79:$BK$79)*CC$79</f>
        <v>7870.5197678926434</v>
      </c>
      <c r="CD80" s="64">
        <f t="shared" si="89"/>
        <v>8026.3222308568293</v>
      </c>
      <c r="CE80" s="64">
        <f t="shared" si="89"/>
        <v>8176.9127974763187</v>
      </c>
      <c r="CF80" s="64">
        <f t="shared" si="89"/>
        <v>8323.7230759637732</v>
      </c>
      <c r="CG80" s="64">
        <f t="shared" si="89"/>
        <v>8467.904191323476</v>
      </c>
      <c r="CH80" s="64">
        <f t="shared" si="89"/>
        <v>8610.3829695695258</v>
      </c>
      <c r="CI80" s="124">
        <f t="shared" si="89"/>
        <v>8751.9068864140263</v>
      </c>
      <c r="CJ80" s="134"/>
    </row>
    <row r="81" spans="1:88" x14ac:dyDescent="0.3">
      <c r="A81" s="33"/>
      <c r="B81" s="68"/>
      <c r="C81" s="21" t="s">
        <v>60</v>
      </c>
      <c r="D81" s="102">
        <f>IFERROR(INDEX('I2015'!B$5:B$73,MATCH($C81,'I2015'!$A$5:$A$73,0)),"")</f>
        <v>1114.5999999999999</v>
      </c>
      <c r="E81" s="102">
        <f>IFERROR(INDEX('I2015'!C$5:C$73,MATCH($C81,'I2015'!$A$5:$A$73,0)),"")</f>
        <v>281</v>
      </c>
      <c r="F81" s="102">
        <f>IFERROR(INDEX('I2015'!D$5:D$73,MATCH($C81,'I2015'!$A$5:$A$73,0)),"")</f>
        <v>941.12</v>
      </c>
      <c r="G81" s="102">
        <f>IFERROR(INDEX('I2015'!E$5:E$73,MATCH($C81,'I2015'!$A$5:$A$73,0)),"")</f>
        <v>1207</v>
      </c>
      <c r="H81" s="102">
        <f>IFERROR(INDEX('I2015'!F$5:F$73,MATCH($C81,'I2015'!$A$5:$A$73,0)),"")</f>
        <v>1238</v>
      </c>
      <c r="I81" s="102">
        <f>IFERROR(INDEX('I2015'!G$5:G$73,MATCH($C81,'I2015'!$A$5:$A$73,0)),"")</f>
        <v>1368</v>
      </c>
      <c r="J81" s="102">
        <f>IFERROR(INDEX('I2015'!H$5:H$73,MATCH($C81,'I2015'!$A$5:$A$73,0)),"")</f>
        <v>1465</v>
      </c>
      <c r="K81" s="102">
        <f>IFERROR(INDEX('I2015'!I$5:I$73,MATCH($C81,'I2015'!$A$5:$A$73,0)),"")</f>
        <v>2160</v>
      </c>
      <c r="L81" s="102">
        <f>IFERROR(INDEX('I2015'!J$5:J$73,MATCH($C81,'I2015'!$A$5:$A$73,0)),"")</f>
        <v>0</v>
      </c>
      <c r="M81" s="102">
        <f>IFERROR(INDEX('I2015'!K$5:K$73,MATCH($C81,'I2015'!$A$5:$A$73,0)),"")</f>
        <v>1080</v>
      </c>
      <c r="N81" s="102">
        <f>IFERROR(INDEX('I2015'!L$5:L$73,MATCH($C81,'I2015'!$A$5:$A$73,0)),"")</f>
        <v>1080</v>
      </c>
      <c r="O81" s="102">
        <f>IFERROR(INDEX('I2015'!M$5:M$73,MATCH($C81,'I2015'!$A$5:$A$73,0)),"")</f>
        <v>2533.9</v>
      </c>
      <c r="P81" s="102">
        <f>IFERROR(INDEX('I2016'!B$5:B$90,MATCH($C81,'I2016'!$A$5:$A$90,0)),"")</f>
        <v>1985.4</v>
      </c>
      <c r="Q81" s="102">
        <f>IFERROR(INDEX('I2016'!C$5:C$90,MATCH($C81,'I2016'!$A$5:$A$90,0)),"")</f>
        <v>1985.4</v>
      </c>
      <c r="R81" s="102">
        <f>IFERROR(INDEX('I2016'!D$5:D$90,MATCH($C81,'I2016'!$A$5:$A$90,0)),"")</f>
        <v>1985.4</v>
      </c>
      <c r="S81" s="102">
        <f>IFERROR(INDEX('I2016'!E$5:E$90,MATCH($C81,'I2016'!$A$5:$A$90,0)),"")</f>
        <v>1985.4</v>
      </c>
      <c r="T81" s="102">
        <f>IFERROR(INDEX('I2016'!F$5:F$90,MATCH($C81,'I2016'!$A$5:$A$90,0)),"")</f>
        <v>993</v>
      </c>
      <c r="U81" s="102">
        <f>IFERROR(INDEX('I2016'!G$5:G$90,MATCH($C81,'I2016'!$A$5:$A$90,0)),"")</f>
        <v>0</v>
      </c>
      <c r="V81" s="102">
        <f>IFERROR(INDEX('I2016'!H$5:H$90,MATCH($C81,'I2016'!$A$5:$A$90,0)),"")</f>
        <v>1985</v>
      </c>
      <c r="W81" s="102">
        <f>IFERROR(INDEX('I2016'!I$5:I$90,MATCH($C81,'I2016'!$A$5:$A$90,0)),"")</f>
        <v>1985</v>
      </c>
      <c r="X81" s="102">
        <f>IFERROR(INDEX('I2016'!J$5:J$90,MATCH($C81,'I2016'!$A$5:$A$90,0)),"")</f>
        <v>1985</v>
      </c>
      <c r="Y81" s="102">
        <f>IFERROR(INDEX('I2016'!K$5:K$90,MATCH($C81,'I2016'!$A$5:$A$90,0)),"")</f>
        <v>1985</v>
      </c>
      <c r="Z81" s="102">
        <f>IFERROR(INDEX('I2016'!L$5:L$90,MATCH($C81,'I2016'!$A$5:$A$90,0)),"")</f>
        <v>2978</v>
      </c>
      <c r="AA81" s="102">
        <f>IFERROR(INDEX('I2016'!M$5:M$90,MATCH($C81,'I2016'!$A$5:$A$90,0)),"")</f>
        <v>1985</v>
      </c>
      <c r="AB81" s="102">
        <f>IFERROR(INDEX('I2017'!B$5:B$96,MATCH($C81,'I2017'!$A$5:$A$96,0)),"")</f>
        <v>0</v>
      </c>
      <c r="AC81" s="102">
        <f>IFERROR(INDEX('I2017'!C$5:C$96,MATCH($C81,'I2017'!$A$5:$A$96,0)),"")</f>
        <v>0</v>
      </c>
      <c r="AD81" s="102">
        <f>IFERROR(INDEX('I2017'!D$5:D$96,MATCH($C81,'I2017'!$A$5:$A$96,0)),"")</f>
        <v>7480</v>
      </c>
      <c r="AE81" s="102">
        <f>IFERROR(INDEX('I2017'!E$5:E$96,MATCH($C81,'I2017'!$A$5:$A$96,0)),"")</f>
        <v>3300</v>
      </c>
      <c r="AF81" s="102">
        <f>IFERROR(INDEX('I2017'!F$5:F$96,MATCH($C81,'I2017'!$A$5:$A$96,0)),"")</f>
        <v>0</v>
      </c>
      <c r="AG81" s="102">
        <f>IFERROR(INDEX('I2017'!G$5:G$96,MATCH($C81,'I2017'!$A$5:$A$96,0)),"")</f>
        <v>6600</v>
      </c>
      <c r="AH81" s="102">
        <f>IFERROR(INDEX('I2017'!H$5:H$96,MATCH($C81,'I2017'!$A$5:$A$96,0)),"")</f>
        <v>1200</v>
      </c>
      <c r="AI81" s="102">
        <f>IFERROR(INDEX('I2017'!I$5:I$96,MATCH($C81,'I2017'!$A$5:$A$96,0)),"")</f>
        <v>10200</v>
      </c>
      <c r="AJ81" s="102">
        <f>IFERROR(INDEX('I2017'!J$5:J$96,MATCH($C81,'I2017'!$A$5:$A$96,0)),"")</f>
        <v>0</v>
      </c>
      <c r="AK81" s="102">
        <f>IFERROR(INDEX('I2017'!K$5:K$96,MATCH($C81,'I2017'!$A$5:$A$96,0)),"")</f>
        <v>9000</v>
      </c>
      <c r="AL81" s="102">
        <f>IFERROR(INDEX('I2017'!L$5:L$96,MATCH($C81,'I2017'!$A$5:$A$96,0)),"")</f>
        <v>0</v>
      </c>
      <c r="AM81" s="102">
        <f>IFERROR(INDEX('I2017'!M$5:M$96,MATCH($C81,'I2017'!$A$5:$A$96,0)),"")</f>
        <v>6500</v>
      </c>
      <c r="AN81" s="102">
        <f>IFERROR(INDEX('I2018'!B$5:B$107,MATCH($C81,'I2018'!$A$5:$A$107,0)),"")</f>
        <v>6500</v>
      </c>
      <c r="AO81" s="102">
        <f>IFERROR(INDEX('I2018'!C$5:C$107,MATCH($C81,'I2018'!$A$5:$A$107,0)),"")</f>
        <v>6500</v>
      </c>
      <c r="AP81" s="102">
        <f>IFERROR(INDEX('I2018'!D$5:D$107,MATCH($C81,'I2018'!$A$5:$A$107,0)),"")</f>
        <v>6500</v>
      </c>
      <c r="AQ81" s="102">
        <f>IFERROR(INDEX('I2018'!E$5:E$107,MATCH($C81,'I2018'!$A$5:$A$107,0)),"")</f>
        <v>13000</v>
      </c>
      <c r="AR81" s="102">
        <f>IFERROR(INDEX('I2018'!F$5:F$107,MATCH($C81,'I2018'!$A$5:$A$107,0)),"")</f>
        <v>6685.8</v>
      </c>
      <c r="AS81" s="102">
        <f>IFERROR(INDEX('I2018'!G$5:G$107,MATCH($C81,'I2018'!$A$5:$A$107,0)),"")</f>
        <v>4733</v>
      </c>
      <c r="AT81" s="102">
        <f>IFERROR(INDEX('I2018'!H$5:H$107,MATCH($C81,'I2018'!$A$5:$A$107,0)),"")</f>
        <v>19666</v>
      </c>
      <c r="AU81" s="102">
        <f>IFERROR(INDEX('I2018'!I$5:I$107,MATCH($C81,'I2018'!$A$5:$A$107,0)),"")</f>
        <v>14933</v>
      </c>
      <c r="AV81" s="102">
        <f>IFERROR(INDEX('I2018'!J$5:J$107,MATCH($C81,'I2018'!$A$5:$A$107,0)),"")</f>
        <v>14933</v>
      </c>
      <c r="AW81" s="102">
        <f>IFERROR(INDEX('I2018'!K$5:K$107,MATCH($C81,'I2018'!$A$5:$A$107,0)),"")</f>
        <v>14933</v>
      </c>
      <c r="AX81" s="102">
        <f>IFERROR(INDEX('I2018'!L$5:L$107,MATCH($C81,'I2018'!$A$5:$A$107,0)),"")</f>
        <v>14933</v>
      </c>
      <c r="AY81" s="102">
        <f>IFERROR(INDEX('I2018'!M$5:M$107,MATCH($C81,'I2018'!$A$5:$A$107,0)),"")</f>
        <v>14933</v>
      </c>
      <c r="AZ81" s="102">
        <f>IFERROR(INDEX('I2019'!B$5:B$112,MATCH($C81,'I2019'!$A$5:$A$112,0)),"")</f>
        <v>15253</v>
      </c>
      <c r="BA81" s="102">
        <f>IFERROR(INDEX('I2019'!C$5:C$112,MATCH($C81,'I2019'!$A$5:$A$112,0)),"")</f>
        <v>15093</v>
      </c>
      <c r="BB81" s="102">
        <f>IFERROR(INDEX('I2019'!D$5:D$112,MATCH($C81,'I2019'!$A$5:$A$112,0)),"")</f>
        <v>15788</v>
      </c>
      <c r="BC81" s="102">
        <f>IFERROR(INDEX('I2019'!E$5:E$112,MATCH($C81,'I2019'!$A$5:$A$112,0)),"")</f>
        <v>15873</v>
      </c>
      <c r="BD81" s="102">
        <f>IFERROR(INDEX('I2019'!F$5:F$112,MATCH($C81,'I2019'!$A$5:$A$112,0)),"")</f>
        <v>17526.349999999999</v>
      </c>
      <c r="BE81" s="102">
        <f>IFERROR(INDEX('I2019'!G$5:G$112,MATCH($C81,'I2019'!$A$5:$A$112,0)),"")</f>
        <v>16462</v>
      </c>
      <c r="BF81" s="102">
        <f>IFERROR(INDEX('I2019'!H$5:H$112,MATCH($C81,'I2019'!$A$5:$A$112,0)),"")</f>
        <v>17309.77</v>
      </c>
      <c r="BG81" s="102">
        <f>IFERROR(INDEX('I2019'!I$5:I$112,MATCH($C81,'I2019'!$A$5:$A$112,0)),"")</f>
        <v>16234.01</v>
      </c>
      <c r="BH81" s="102">
        <f>IFERROR(INDEX('I2019'!J$5:J$112,MATCH($C81,'I2019'!$A$5:$A$112,0)),"")</f>
        <v>16133</v>
      </c>
      <c r="BI81" s="102">
        <f>IFERROR(INDEX('I2019'!K$5:K$112,MATCH($C81,'I2019'!$A$5:$A$112,0)),"")</f>
        <v>16133</v>
      </c>
      <c r="BJ81" s="102">
        <f>IFERROR(INDEX('I2019'!L$5:L$112,MATCH($C81,'I2019'!$A$5:$A$112,0)),"")</f>
        <v>16133</v>
      </c>
      <c r="BK81" s="102">
        <f>IFERROR(INDEX('I2019'!M$5:M$112,MATCH($C81,'I2019'!$A$5:$A$112,0)),"")</f>
        <v>16133</v>
      </c>
      <c r="BL81" s="102">
        <f>IFERROR(INDEX('I2020'!B$5:B$113,MATCH($C81,'I2020'!$A$5:$A$113,0)),"")</f>
        <v>17353.490000000002</v>
      </c>
      <c r="BM81" s="102">
        <f>IFERROR(INDEX('I2020'!C$5:C$113,MATCH($C81,'I2020'!$A$5:$A$113,0)),"")</f>
        <v>16618</v>
      </c>
      <c r="BN81" s="102">
        <f>IFERROR(INDEX('I2020'!D$5:D$113,MATCH($C81,'I2020'!$A$5:$A$113,0)),"")</f>
        <v>16618</v>
      </c>
      <c r="BO81" s="102">
        <f>IFERROR(INDEX('I2020'!E$5:E$113,MATCH($C81,'I2020'!$A$5:$A$113,0)),"")</f>
        <v>24445.27</v>
      </c>
      <c r="BP81" s="102">
        <f>IFERROR(INDEX('I2020'!F$5:F$113,MATCH($C81,'I2020'!$A$5:$A$113,0)),"")</f>
        <v>16417.509999999998</v>
      </c>
      <c r="BQ81" s="392">
        <f>IFERROR(INDEX('I2020'!G$5:G$113,MATCH($C81,'I2020'!$A$5:$A$113,0)),"")</f>
        <v>17128</v>
      </c>
      <c r="BR81" s="64">
        <f t="shared" si="88"/>
        <v>23425.748912376497</v>
      </c>
      <c r="BS81" s="64">
        <f t="shared" si="88"/>
        <v>23754.655380532222</v>
      </c>
      <c r="BT81" s="64">
        <f t="shared" si="88"/>
        <v>24318.623930094662</v>
      </c>
      <c r="BU81" s="64">
        <f t="shared" si="88"/>
        <v>25088.692747284749</v>
      </c>
      <c r="BV81" s="64">
        <f t="shared" si="88"/>
        <v>26042.775417229361</v>
      </c>
      <c r="BW81" s="64">
        <f t="shared" si="88"/>
        <v>27164.350826349139</v>
      </c>
      <c r="BX81" s="64">
        <f t="shared" si="88"/>
        <v>28156.563111033454</v>
      </c>
      <c r="BY81" s="64">
        <f t="shared" si="88"/>
        <v>29046.70917553021</v>
      </c>
      <c r="BZ81" s="64">
        <f t="shared" si="88"/>
        <v>29856.647907428174</v>
      </c>
      <c r="CA81" s="64">
        <f t="shared" si="88"/>
        <v>30603.888101451597</v>
      </c>
      <c r="CB81" s="64">
        <f t="shared" si="88"/>
        <v>31302.458803302976</v>
      </c>
      <c r="CC81" s="64">
        <f t="shared" si="89"/>
        <v>31963.605589616203</v>
      </c>
      <c r="CD81" s="64">
        <f t="shared" si="89"/>
        <v>32596.34759687139</v>
      </c>
      <c r="CE81" s="64">
        <f t="shared" si="89"/>
        <v>33207.923149553215</v>
      </c>
      <c r="CF81" s="64">
        <f t="shared" si="89"/>
        <v>33804.146267779521</v>
      </c>
      <c r="CG81" s="64">
        <f t="shared" si="89"/>
        <v>34389.691878582613</v>
      </c>
      <c r="CH81" s="64">
        <f t="shared" si="89"/>
        <v>34968.323990190467</v>
      </c>
      <c r="CI81" s="124">
        <f t="shared" si="89"/>
        <v>35543.078236786627</v>
      </c>
      <c r="CJ81" s="134"/>
    </row>
    <row r="82" spans="1:88" x14ac:dyDescent="0.3">
      <c r="A82" s="33"/>
      <c r="B82" s="68"/>
      <c r="C82" s="21" t="s">
        <v>61</v>
      </c>
      <c r="D82" s="102">
        <f>IFERROR(INDEX('I2015'!B$5:B$73,MATCH($C82,'I2015'!$A$5:$A$73,0)),"")</f>
        <v>279.17</v>
      </c>
      <c r="E82" s="102">
        <f>IFERROR(INDEX('I2015'!C$5:C$73,MATCH($C82,'I2015'!$A$5:$A$73,0)),"")</f>
        <v>237.87</v>
      </c>
      <c r="F82" s="102">
        <f>IFERROR(INDEX('I2015'!D$5:D$73,MATCH($C82,'I2015'!$A$5:$A$73,0)),"")</f>
        <v>397.18</v>
      </c>
      <c r="G82" s="102">
        <f>IFERROR(INDEX('I2015'!E$5:E$73,MATCH($C82,'I2015'!$A$5:$A$73,0)),"")</f>
        <v>397.92</v>
      </c>
      <c r="H82" s="102">
        <f>IFERROR(INDEX('I2015'!F$5:F$73,MATCH($C82,'I2015'!$A$5:$A$73,0)),"")</f>
        <v>364.47</v>
      </c>
      <c r="I82" s="102">
        <f>IFERROR(INDEX('I2015'!G$5:G$73,MATCH($C82,'I2015'!$A$5:$A$73,0)),"")</f>
        <v>402.48</v>
      </c>
      <c r="J82" s="102">
        <f>IFERROR(INDEX('I2015'!H$5:H$73,MATCH($C82,'I2015'!$A$5:$A$73,0)),"")</f>
        <v>432.04</v>
      </c>
      <c r="K82" s="102">
        <f>IFERROR(INDEX('I2015'!I$5:I$73,MATCH($C82,'I2015'!$A$5:$A$73,0)),"")</f>
        <v>359.47</v>
      </c>
      <c r="L82" s="102">
        <f>IFERROR(INDEX('I2015'!J$5:J$73,MATCH($C82,'I2015'!$A$5:$A$73,0)),"")</f>
        <v>442.47</v>
      </c>
      <c r="M82" s="102">
        <f>IFERROR(INDEX('I2015'!K$5:K$73,MATCH($C82,'I2015'!$A$5:$A$73,0)),"")</f>
        <v>506.46</v>
      </c>
      <c r="N82" s="102">
        <f>IFERROR(INDEX('I2015'!L$5:L$73,MATCH($C82,'I2015'!$A$5:$A$73,0)),"")</f>
        <v>444.63</v>
      </c>
      <c r="O82" s="102">
        <f>IFERROR(INDEX('I2015'!M$5:M$73,MATCH($C82,'I2015'!$A$5:$A$73,0)),"")</f>
        <v>419.47</v>
      </c>
      <c r="P82" s="102">
        <f>IFERROR(INDEX('I2016'!B$5:B$90,MATCH($C82,'I2016'!$A$5:$A$90,0)),"")</f>
        <v>668.64</v>
      </c>
      <c r="Q82" s="102">
        <f>IFERROR(INDEX('I2016'!C$5:C$90,MATCH($C82,'I2016'!$A$5:$A$90,0)),"")</f>
        <v>796.66</v>
      </c>
      <c r="R82" s="102">
        <f>IFERROR(INDEX('I2016'!D$5:D$90,MATCH($C82,'I2016'!$A$5:$A$90,0)),"")</f>
        <v>532.79</v>
      </c>
      <c r="S82" s="102">
        <f>IFERROR(INDEX('I2016'!E$5:E$90,MATCH($C82,'I2016'!$A$5:$A$90,0)),"")</f>
        <v>591.61</v>
      </c>
      <c r="T82" s="102">
        <f>IFERROR(INDEX('I2016'!F$5:F$90,MATCH($C82,'I2016'!$A$5:$A$90,0)),"")</f>
        <v>672.24</v>
      </c>
      <c r="U82" s="102">
        <f>IFERROR(INDEX('I2016'!G$5:G$90,MATCH($C82,'I2016'!$A$5:$A$90,0)),"")</f>
        <v>968.26</v>
      </c>
      <c r="V82" s="102">
        <f>IFERROR(INDEX('I2016'!H$5:H$90,MATCH($C82,'I2016'!$A$5:$A$90,0)),"")</f>
        <v>793.15</v>
      </c>
      <c r="W82" s="102">
        <f>IFERROR(INDEX('I2016'!I$5:I$90,MATCH($C82,'I2016'!$A$5:$A$90,0)),"")</f>
        <v>799.27</v>
      </c>
      <c r="X82" s="102">
        <f>IFERROR(INDEX('I2016'!J$5:J$90,MATCH($C82,'I2016'!$A$5:$A$90,0)),"")</f>
        <v>930.56</v>
      </c>
      <c r="Y82" s="102">
        <f>IFERROR(INDEX('I2016'!K$5:K$90,MATCH($C82,'I2016'!$A$5:$A$90,0)),"")</f>
        <v>1066.93</v>
      </c>
      <c r="Z82" s="102">
        <f>IFERROR(INDEX('I2016'!L$5:L$90,MATCH($C82,'I2016'!$A$5:$A$90,0)),"")</f>
        <v>1150.03</v>
      </c>
      <c r="AA82" s="102">
        <f>IFERROR(INDEX('I2016'!M$5:M$90,MATCH($C82,'I2016'!$A$5:$A$90,0)),"")</f>
        <v>1312.69</v>
      </c>
      <c r="AB82" s="102">
        <f>IFERROR(INDEX('I2017'!B$5:B$96,MATCH($C82,'I2017'!$A$5:$A$96,0)),"")</f>
        <v>1130.29</v>
      </c>
      <c r="AC82" s="102">
        <f>IFERROR(INDEX('I2017'!C$5:C$96,MATCH($C82,'I2017'!$A$5:$A$96,0)),"")</f>
        <v>1263.72</v>
      </c>
      <c r="AD82" s="102">
        <f>IFERROR(INDEX('I2017'!D$5:D$96,MATCH($C82,'I2017'!$A$5:$A$96,0)),"")</f>
        <v>1115.76</v>
      </c>
      <c r="AE82" s="102">
        <f>IFERROR(INDEX('I2017'!E$5:E$96,MATCH($C82,'I2017'!$A$5:$A$96,0)),"")</f>
        <v>1380.15</v>
      </c>
      <c r="AF82" s="102">
        <f>IFERROR(INDEX('I2017'!F$5:F$96,MATCH($C82,'I2017'!$A$5:$A$96,0)),"")</f>
        <v>1603.27</v>
      </c>
      <c r="AG82" s="102">
        <f>IFERROR(INDEX('I2017'!G$5:G$96,MATCH($C82,'I2017'!$A$5:$A$96,0)),"")</f>
        <v>1459.72</v>
      </c>
      <c r="AH82" s="102">
        <f>IFERROR(INDEX('I2017'!H$5:H$96,MATCH($C82,'I2017'!$A$5:$A$96,0)),"")</f>
        <v>1585.07</v>
      </c>
      <c r="AI82" s="102">
        <f>IFERROR(INDEX('I2017'!I$5:I$96,MATCH($C82,'I2017'!$A$5:$A$96,0)),"")</f>
        <v>1509.06</v>
      </c>
      <c r="AJ82" s="102">
        <f>IFERROR(INDEX('I2017'!J$5:J$96,MATCH($C82,'I2017'!$A$5:$A$96,0)),"")</f>
        <v>1546.75</v>
      </c>
      <c r="AK82" s="102">
        <f>IFERROR(INDEX('I2017'!K$5:K$96,MATCH($C82,'I2017'!$A$5:$A$96,0)),"")</f>
        <v>1765.18</v>
      </c>
      <c r="AL82" s="102">
        <f>IFERROR(INDEX('I2017'!L$5:L$96,MATCH($C82,'I2017'!$A$5:$A$96,0)),"")</f>
        <v>1578.35</v>
      </c>
      <c r="AM82" s="102">
        <f>IFERROR(INDEX('I2017'!M$5:M$96,MATCH($C82,'I2017'!$A$5:$A$96,0)),"")</f>
        <v>1913.5</v>
      </c>
      <c r="AN82" s="102">
        <f>IFERROR(INDEX('I2018'!B$5:B$107,MATCH($C82,'I2018'!$A$5:$A$107,0)),"")</f>
        <v>1896.02</v>
      </c>
      <c r="AO82" s="102">
        <f>IFERROR(INDEX('I2018'!C$5:C$107,MATCH($C82,'I2018'!$A$5:$A$107,0)),"")</f>
        <v>1786.09</v>
      </c>
      <c r="AP82" s="102">
        <f>IFERROR(INDEX('I2018'!D$5:D$107,MATCH($C82,'I2018'!$A$5:$A$107,0)),"")</f>
        <v>3601.21</v>
      </c>
      <c r="AQ82" s="102">
        <f>IFERROR(INDEX('I2018'!E$5:E$107,MATCH($C82,'I2018'!$A$5:$A$107,0)),"")</f>
        <v>3735.61</v>
      </c>
      <c r="AR82" s="102">
        <f>IFERROR(INDEX('I2018'!F$5:F$107,MATCH($C82,'I2018'!$A$5:$A$107,0)),"")</f>
        <v>3074.56</v>
      </c>
      <c r="AS82" s="102">
        <f>IFERROR(INDEX('I2018'!G$5:G$107,MATCH($C82,'I2018'!$A$5:$A$107,0)),"")</f>
        <v>5486.15</v>
      </c>
      <c r="AT82" s="102">
        <f>IFERROR(INDEX('I2018'!H$5:H$107,MATCH($C82,'I2018'!$A$5:$A$107,0)),"")</f>
        <v>3065.71</v>
      </c>
      <c r="AU82" s="102">
        <f>IFERROR(INDEX('I2018'!I$5:I$107,MATCH($C82,'I2018'!$A$5:$A$107,0)),"")</f>
        <v>4622.08</v>
      </c>
      <c r="AV82" s="102">
        <f>IFERROR(INDEX('I2018'!J$5:J$107,MATCH($C82,'I2018'!$A$5:$A$107,0)),"")</f>
        <v>8538.89</v>
      </c>
      <c r="AW82" s="102">
        <f>IFERROR(INDEX('I2018'!K$5:K$107,MATCH($C82,'I2018'!$A$5:$A$107,0)),"")</f>
        <v>7570.46</v>
      </c>
      <c r="AX82" s="102">
        <f>IFERROR(INDEX('I2018'!L$5:L$107,MATCH($C82,'I2018'!$A$5:$A$107,0)),"")</f>
        <v>5791.33</v>
      </c>
      <c r="AY82" s="102">
        <f>IFERROR(INDEX('I2018'!M$5:M$107,MATCH($C82,'I2018'!$A$5:$A$107,0)),"")</f>
        <v>6492.86</v>
      </c>
      <c r="AZ82" s="102">
        <f>IFERROR(INDEX('I2019'!B$5:B$112,MATCH($C82,'I2019'!$A$5:$A$112,0)),"")</f>
        <v>9038.2199999999993</v>
      </c>
      <c r="BA82" s="102">
        <f>IFERROR(INDEX('I2019'!C$5:C$112,MATCH($C82,'I2019'!$A$5:$A$112,0)),"")</f>
        <v>9098.84</v>
      </c>
      <c r="BB82" s="102">
        <f>IFERROR(INDEX('I2019'!D$5:D$112,MATCH($C82,'I2019'!$A$5:$A$112,0)),"")</f>
        <v>8821.39</v>
      </c>
      <c r="BC82" s="102">
        <f>IFERROR(INDEX('I2019'!E$5:E$112,MATCH($C82,'I2019'!$A$5:$A$112,0)),"")</f>
        <v>7785.25</v>
      </c>
      <c r="BD82" s="102">
        <f>IFERROR(INDEX('I2019'!F$5:F$112,MATCH($C82,'I2019'!$A$5:$A$112,0)),"")</f>
        <v>7508.09</v>
      </c>
      <c r="BE82" s="102">
        <f>IFERROR(INDEX('I2019'!G$5:G$112,MATCH($C82,'I2019'!$A$5:$A$112,0)),"")</f>
        <v>8318.9500000000007</v>
      </c>
      <c r="BF82" s="102">
        <f>IFERROR(INDEX('I2019'!H$5:H$112,MATCH($C82,'I2019'!$A$5:$A$112,0)),"")</f>
        <v>9451.26</v>
      </c>
      <c r="BG82" s="102">
        <f>IFERROR(INDEX('I2019'!I$5:I$112,MATCH($C82,'I2019'!$A$5:$A$112,0)),"")</f>
        <v>8996.5</v>
      </c>
      <c r="BH82" s="102">
        <f>IFERROR(INDEX('I2019'!J$5:J$112,MATCH($C82,'I2019'!$A$5:$A$112,0)),"")</f>
        <v>13292.74</v>
      </c>
      <c r="BI82" s="102">
        <f>IFERROR(INDEX('I2019'!K$5:K$112,MATCH($C82,'I2019'!$A$5:$A$112,0)),"")</f>
        <v>9111.7199999999993</v>
      </c>
      <c r="BJ82" s="102">
        <f>IFERROR(INDEX('I2019'!L$5:L$112,MATCH($C82,'I2019'!$A$5:$A$112,0)),"")</f>
        <v>10443.629999999999</v>
      </c>
      <c r="BK82" s="102">
        <f>IFERROR(INDEX('I2019'!M$5:M$112,MATCH($C82,'I2019'!$A$5:$A$112,0)),"")</f>
        <v>7925.42</v>
      </c>
      <c r="BL82" s="102">
        <f>IFERROR(INDEX('I2020'!B$5:B$113,MATCH($C82,'I2020'!$A$5:$A$113,0)),"")</f>
        <v>10831.3</v>
      </c>
      <c r="BM82" s="102">
        <f>IFERROR(INDEX('I2020'!C$5:C$113,MATCH($C82,'I2020'!$A$5:$A$113,0)),"")</f>
        <v>10119.379999999999</v>
      </c>
      <c r="BN82" s="102">
        <f>IFERROR(INDEX('I2020'!D$5:D$113,MATCH($C82,'I2020'!$A$5:$A$113,0)),"")</f>
        <v>13112.91</v>
      </c>
      <c r="BO82" s="102">
        <f>IFERROR(INDEX('I2020'!E$5:E$113,MATCH($C82,'I2020'!$A$5:$A$113,0)),"")</f>
        <v>10851.25</v>
      </c>
      <c r="BP82" s="102">
        <f>IFERROR(INDEX('I2020'!F$5:F$113,MATCH($C82,'I2020'!$A$5:$A$113,0)),"")</f>
        <v>23863.99</v>
      </c>
      <c r="BQ82" s="392">
        <f>IFERROR(INDEX('I2020'!G$5:G$113,MATCH($C82,'I2020'!$A$5:$A$113,0)),"")</f>
        <v>14893.59</v>
      </c>
      <c r="BR82" s="64">
        <f t="shared" si="88"/>
        <v>13252.666992999577</v>
      </c>
      <c r="BS82" s="64">
        <f t="shared" si="88"/>
        <v>13438.73950280986</v>
      </c>
      <c r="BT82" s="64">
        <f t="shared" si="88"/>
        <v>13757.793865162699</v>
      </c>
      <c r="BU82" s="64">
        <f t="shared" si="88"/>
        <v>14193.44549081986</v>
      </c>
      <c r="BV82" s="64">
        <f t="shared" si="88"/>
        <v>14733.19941526697</v>
      </c>
      <c r="BW82" s="64">
        <f t="shared" si="88"/>
        <v>15367.709136181324</v>
      </c>
      <c r="BX82" s="64">
        <f t="shared" si="88"/>
        <v>15929.034156972326</v>
      </c>
      <c r="BY82" s="64">
        <f t="shared" si="88"/>
        <v>16432.61717632553</v>
      </c>
      <c r="BZ82" s="64">
        <f t="shared" si="88"/>
        <v>16890.824439569315</v>
      </c>
      <c r="CA82" s="64">
        <f t="shared" si="88"/>
        <v>17313.561210641969</v>
      </c>
      <c r="CB82" s="64">
        <f t="shared" si="88"/>
        <v>17708.764152384894</v>
      </c>
      <c r="CC82" s="64">
        <f t="shared" si="89"/>
        <v>18082.795233537301</v>
      </c>
      <c r="CD82" s="64">
        <f t="shared" si="89"/>
        <v>18440.756857133671</v>
      </c>
      <c r="CE82" s="64">
        <f t="shared" si="89"/>
        <v>18786.743966065322</v>
      </c>
      <c r="CF82" s="64">
        <f t="shared" si="89"/>
        <v>19124.045730416019</v>
      </c>
      <c r="CG82" s="64">
        <f t="shared" si="89"/>
        <v>19455.306900260028</v>
      </c>
      <c r="CH82" s="64">
        <f t="shared" si="89"/>
        <v>19782.656890874146</v>
      </c>
      <c r="CI82" s="124">
        <f t="shared" si="89"/>
        <v>20107.813053925434</v>
      </c>
      <c r="CJ82" s="134"/>
    </row>
    <row r="83" spans="1:88" x14ac:dyDescent="0.3">
      <c r="A83" s="33"/>
      <c r="B83" s="68"/>
      <c r="C83" s="21" t="s">
        <v>62</v>
      </c>
      <c r="D83" s="102">
        <f>IFERROR(INDEX('I2015'!B$5:B$73,MATCH($C83,'I2015'!$A$5:$A$73,0)),"")</f>
        <v>29.99</v>
      </c>
      <c r="E83" s="102">
        <f>IFERROR(INDEX('I2015'!C$5:C$73,MATCH($C83,'I2015'!$A$5:$A$73,0)),"")</f>
        <v>121.31</v>
      </c>
      <c r="F83" s="102">
        <f>IFERROR(INDEX('I2015'!D$5:D$73,MATCH($C83,'I2015'!$A$5:$A$73,0)),"")</f>
        <v>0</v>
      </c>
      <c r="G83" s="102">
        <f>IFERROR(INDEX('I2015'!E$5:E$73,MATCH($C83,'I2015'!$A$5:$A$73,0)),"")</f>
        <v>0</v>
      </c>
      <c r="H83" s="102">
        <f>IFERROR(INDEX('I2015'!F$5:F$73,MATCH($C83,'I2015'!$A$5:$A$73,0)),"")</f>
        <v>0</v>
      </c>
      <c r="I83" s="102">
        <f>IFERROR(INDEX('I2015'!G$5:G$73,MATCH($C83,'I2015'!$A$5:$A$73,0)),"")</f>
        <v>0</v>
      </c>
      <c r="J83" s="102">
        <f>IFERROR(INDEX('I2015'!H$5:H$73,MATCH($C83,'I2015'!$A$5:$A$73,0)),"")</f>
        <v>0</v>
      </c>
      <c r="K83" s="102">
        <f>IFERROR(INDEX('I2015'!I$5:I$73,MATCH($C83,'I2015'!$A$5:$A$73,0)),"")</f>
        <v>0</v>
      </c>
      <c r="L83" s="102">
        <f>IFERROR(INDEX('I2015'!J$5:J$73,MATCH($C83,'I2015'!$A$5:$A$73,0)),"")</f>
        <v>6.5</v>
      </c>
      <c r="M83" s="102">
        <f>IFERROR(INDEX('I2015'!K$5:K$73,MATCH($C83,'I2015'!$A$5:$A$73,0)),"")</f>
        <v>0</v>
      </c>
      <c r="N83" s="102">
        <f>IFERROR(INDEX('I2015'!L$5:L$73,MATCH($C83,'I2015'!$A$5:$A$73,0)),"")</f>
        <v>0</v>
      </c>
      <c r="O83" s="102">
        <f>IFERROR(INDEX('I2015'!M$5:M$73,MATCH($C83,'I2015'!$A$5:$A$73,0)),"")</f>
        <v>0</v>
      </c>
      <c r="P83" s="102" t="str">
        <f>IFERROR(INDEX('I2016'!B$5:B$90,MATCH($C83,'I2016'!$A$5:$A$90,0)),"")</f>
        <v/>
      </c>
      <c r="Q83" s="102" t="str">
        <f>IFERROR(INDEX('I2016'!C$5:C$90,MATCH($C83,'I2016'!$A$5:$A$90,0)),"")</f>
        <v/>
      </c>
      <c r="R83" s="102" t="str">
        <f>IFERROR(INDEX('I2016'!D$5:D$90,MATCH($C83,'I2016'!$A$5:$A$90,0)),"")</f>
        <v/>
      </c>
      <c r="S83" s="102" t="str">
        <f>IFERROR(INDEX('I2016'!E$5:E$90,MATCH($C83,'I2016'!$A$5:$A$90,0)),"")</f>
        <v/>
      </c>
      <c r="T83" s="102" t="str">
        <f>IFERROR(INDEX('I2016'!F$5:F$90,MATCH($C83,'I2016'!$A$5:$A$90,0)),"")</f>
        <v/>
      </c>
      <c r="U83" s="102" t="str">
        <f>IFERROR(INDEX('I2016'!G$5:G$90,MATCH($C83,'I2016'!$A$5:$A$90,0)),"")</f>
        <v/>
      </c>
      <c r="V83" s="102" t="str">
        <f>IFERROR(INDEX('I2016'!H$5:H$90,MATCH($C83,'I2016'!$A$5:$A$90,0)),"")</f>
        <v/>
      </c>
      <c r="W83" s="102" t="str">
        <f>IFERROR(INDEX('I2016'!I$5:I$90,MATCH($C83,'I2016'!$A$5:$A$90,0)),"")</f>
        <v/>
      </c>
      <c r="X83" s="102" t="str">
        <f>IFERROR(INDEX('I2016'!J$5:J$90,MATCH($C83,'I2016'!$A$5:$A$90,0)),"")</f>
        <v/>
      </c>
      <c r="Y83" s="102" t="str">
        <f>IFERROR(INDEX('I2016'!K$5:K$90,MATCH($C83,'I2016'!$A$5:$A$90,0)),"")</f>
        <v/>
      </c>
      <c r="Z83" s="102" t="str">
        <f>IFERROR(INDEX('I2016'!L$5:L$90,MATCH($C83,'I2016'!$A$5:$A$90,0)),"")</f>
        <v/>
      </c>
      <c r="AA83" s="102" t="str">
        <f>IFERROR(INDEX('I2016'!M$5:M$90,MATCH($C83,'I2016'!$A$5:$A$90,0)),"")</f>
        <v/>
      </c>
      <c r="AB83" s="102" t="str">
        <f>IFERROR(INDEX('I2017'!B$5:B$96,MATCH($C83,'I2017'!$A$5:$A$96,0)),"")</f>
        <v/>
      </c>
      <c r="AC83" s="102" t="str">
        <f>IFERROR(INDEX('I2017'!C$5:C$96,MATCH($C83,'I2017'!$A$5:$A$96,0)),"")</f>
        <v/>
      </c>
      <c r="AD83" s="102" t="str">
        <f>IFERROR(INDEX('I2017'!D$5:D$96,MATCH($C83,'I2017'!$A$5:$A$96,0)),"")</f>
        <v/>
      </c>
      <c r="AE83" s="102" t="str">
        <f>IFERROR(INDEX('I2017'!E$5:E$96,MATCH($C83,'I2017'!$A$5:$A$96,0)),"")</f>
        <v/>
      </c>
      <c r="AF83" s="102" t="str">
        <f>IFERROR(INDEX('I2017'!F$5:F$96,MATCH($C83,'I2017'!$A$5:$A$96,0)),"")</f>
        <v/>
      </c>
      <c r="AG83" s="102" t="str">
        <f>IFERROR(INDEX('I2017'!G$5:G$96,MATCH($C83,'I2017'!$A$5:$A$96,0)),"")</f>
        <v/>
      </c>
      <c r="AH83" s="102" t="str">
        <f>IFERROR(INDEX('I2017'!H$5:H$96,MATCH($C83,'I2017'!$A$5:$A$96,0)),"")</f>
        <v/>
      </c>
      <c r="AI83" s="102" t="str">
        <f>IFERROR(INDEX('I2017'!I$5:I$96,MATCH($C83,'I2017'!$A$5:$A$96,0)),"")</f>
        <v/>
      </c>
      <c r="AJ83" s="102" t="str">
        <f>IFERROR(INDEX('I2017'!J$5:J$96,MATCH($C83,'I2017'!$A$5:$A$96,0)),"")</f>
        <v/>
      </c>
      <c r="AK83" s="102" t="str">
        <f>IFERROR(INDEX('I2017'!K$5:K$96,MATCH($C83,'I2017'!$A$5:$A$96,0)),"")</f>
        <v/>
      </c>
      <c r="AL83" s="102" t="str">
        <f>IFERROR(INDEX('I2017'!L$5:L$96,MATCH($C83,'I2017'!$A$5:$A$96,0)),"")</f>
        <v/>
      </c>
      <c r="AM83" s="102" t="str">
        <f>IFERROR(INDEX('I2017'!M$5:M$96,MATCH($C83,'I2017'!$A$5:$A$96,0)),"")</f>
        <v/>
      </c>
      <c r="AN83" s="102">
        <f>IFERROR(INDEX('I2018'!B$5:B$107,MATCH($C83,'I2018'!$A$5:$A$107,0)),"")</f>
        <v>0</v>
      </c>
      <c r="AO83" s="102">
        <f>IFERROR(INDEX('I2018'!C$5:C$107,MATCH($C83,'I2018'!$A$5:$A$107,0)),"")</f>
        <v>0</v>
      </c>
      <c r="AP83" s="102">
        <f>IFERROR(INDEX('I2018'!D$5:D$107,MATCH($C83,'I2018'!$A$5:$A$107,0)),"")</f>
        <v>0</v>
      </c>
      <c r="AQ83" s="102">
        <f>IFERROR(INDEX('I2018'!E$5:E$107,MATCH($C83,'I2018'!$A$5:$A$107,0)),"")</f>
        <v>0</v>
      </c>
      <c r="AR83" s="102">
        <f>IFERROR(INDEX('I2018'!F$5:F$107,MATCH($C83,'I2018'!$A$5:$A$107,0)),"")</f>
        <v>0</v>
      </c>
      <c r="AS83" s="102">
        <f>IFERROR(INDEX('I2018'!G$5:G$107,MATCH($C83,'I2018'!$A$5:$A$107,0)),"")</f>
        <v>0</v>
      </c>
      <c r="AT83" s="102">
        <f>IFERROR(INDEX('I2018'!H$5:H$107,MATCH($C83,'I2018'!$A$5:$A$107,0)),"")</f>
        <v>0</v>
      </c>
      <c r="AU83" s="102">
        <f>IFERROR(INDEX('I2018'!I$5:I$107,MATCH($C83,'I2018'!$A$5:$A$107,0)),"")</f>
        <v>0</v>
      </c>
      <c r="AV83" s="102">
        <f>IFERROR(INDEX('I2018'!J$5:J$107,MATCH($C83,'I2018'!$A$5:$A$107,0)),"")</f>
        <v>0</v>
      </c>
      <c r="AW83" s="102">
        <f>IFERROR(INDEX('I2018'!K$5:K$107,MATCH($C83,'I2018'!$A$5:$A$107,0)),"")</f>
        <v>54.9</v>
      </c>
      <c r="AX83" s="102">
        <f>IFERROR(INDEX('I2018'!L$5:L$107,MATCH($C83,'I2018'!$A$5:$A$107,0)),"")</f>
        <v>4016.87</v>
      </c>
      <c r="AY83" s="102">
        <f>IFERROR(INDEX('I2018'!M$5:M$107,MATCH($C83,'I2018'!$A$5:$A$107,0)),"")</f>
        <v>0</v>
      </c>
      <c r="AZ83" s="102">
        <f>IFERROR(INDEX('I2019'!B$5:B$112,MATCH($C83,'I2019'!$A$5:$A$112,0)),"")</f>
        <v>35.07</v>
      </c>
      <c r="BA83" s="102">
        <f>IFERROR(INDEX('I2019'!C$5:C$112,MATCH($C83,'I2019'!$A$5:$A$112,0)),"")</f>
        <v>2204.9499999999998</v>
      </c>
      <c r="BB83" s="102">
        <f>IFERROR(INDEX('I2019'!D$5:D$112,MATCH($C83,'I2019'!$A$5:$A$112,0)),"")</f>
        <v>0</v>
      </c>
      <c r="BC83" s="102">
        <f>IFERROR(INDEX('I2019'!E$5:E$112,MATCH($C83,'I2019'!$A$5:$A$112,0)),"")</f>
        <v>0</v>
      </c>
      <c r="BD83" s="102">
        <f>IFERROR(INDEX('I2019'!F$5:F$112,MATCH($C83,'I2019'!$A$5:$A$112,0)),"")</f>
        <v>6684</v>
      </c>
      <c r="BE83" s="102">
        <f>IFERROR(INDEX('I2019'!G$5:G$112,MATCH($C83,'I2019'!$A$5:$A$112,0)),"")</f>
        <v>6772.85</v>
      </c>
      <c r="BF83" s="102">
        <f>IFERROR(INDEX('I2019'!H$5:H$112,MATCH($C83,'I2019'!$A$5:$A$112,0)),"")</f>
        <v>6023.86</v>
      </c>
      <c r="BG83" s="102">
        <f>IFERROR(INDEX('I2019'!I$5:I$112,MATCH($C83,'I2019'!$A$5:$A$112,0)),"")</f>
        <v>5969.76</v>
      </c>
      <c r="BH83" s="102">
        <f>IFERROR(INDEX('I2019'!J$5:J$112,MATCH($C83,'I2019'!$A$5:$A$112,0)),"")</f>
        <v>12041.71</v>
      </c>
      <c r="BI83" s="102">
        <f>IFERROR(INDEX('I2019'!K$5:K$112,MATCH($C83,'I2019'!$A$5:$A$112,0)),"")</f>
        <v>7146.54</v>
      </c>
      <c r="BJ83" s="102">
        <f>IFERROR(INDEX('I2019'!L$5:L$112,MATCH($C83,'I2019'!$A$5:$A$112,0)),"")</f>
        <v>5727.21</v>
      </c>
      <c r="BK83" s="102">
        <f>IFERROR(INDEX('I2019'!M$5:M$112,MATCH($C83,'I2019'!$A$5:$A$112,0)),"")</f>
        <v>16920.62</v>
      </c>
      <c r="BL83" s="102">
        <f>IFERROR(INDEX('I2020'!B$5:B$113,MATCH($C83,'I2020'!$A$5:$A$113,0)),"")</f>
        <v>0</v>
      </c>
      <c r="BM83" s="102">
        <f>IFERROR(INDEX('I2020'!C$5:C$113,MATCH($C83,'I2020'!$A$5:$A$113,0)),"")</f>
        <v>1229.24</v>
      </c>
      <c r="BN83" s="102">
        <f>IFERROR(INDEX('I2020'!D$5:D$113,MATCH($C83,'I2020'!$A$5:$A$113,0)),"")</f>
        <v>10534.81</v>
      </c>
      <c r="BO83" s="102">
        <f>IFERROR(INDEX('I2020'!E$5:E$113,MATCH($C83,'I2020'!$A$5:$A$113,0)),"")</f>
        <v>5087.79</v>
      </c>
      <c r="BP83" s="102">
        <f>IFERROR(INDEX('I2020'!F$5:F$113,MATCH($C83,'I2020'!$A$5:$A$113,0)),"")</f>
        <v>5298.43</v>
      </c>
      <c r="BQ83" s="392">
        <f>IFERROR(INDEX('I2020'!G$5:G$113,MATCH($C83,'I2020'!$A$5:$A$113,0)),"")</f>
        <v>6557.69</v>
      </c>
      <c r="BR83" s="64">
        <f t="shared" si="88"/>
        <v>8392.3454846620843</v>
      </c>
      <c r="BS83" s="64">
        <f t="shared" si="88"/>
        <v>8510.1772228587015</v>
      </c>
      <c r="BT83" s="64">
        <f t="shared" si="88"/>
        <v>8712.220663523738</v>
      </c>
      <c r="BU83" s="64">
        <f t="shared" si="88"/>
        <v>8988.1001491699735</v>
      </c>
      <c r="BV83" s="64">
        <f t="shared" si="88"/>
        <v>9329.9031547880204</v>
      </c>
      <c r="BW83" s="64">
        <f t="shared" si="88"/>
        <v>9731.7109414095812</v>
      </c>
      <c r="BX83" s="64">
        <f t="shared" si="88"/>
        <v>10087.17399697052</v>
      </c>
      <c r="BY83" s="64">
        <f t="shared" si="88"/>
        <v>10406.071520076908</v>
      </c>
      <c r="BZ83" s="64">
        <f t="shared" si="88"/>
        <v>10696.234523399531</v>
      </c>
      <c r="CA83" s="64">
        <f t="shared" si="88"/>
        <v>10963.935585667696</v>
      </c>
      <c r="CB83" s="64">
        <f t="shared" si="88"/>
        <v>11214.200654986451</v>
      </c>
      <c r="CC83" s="64">
        <f t="shared" si="89"/>
        <v>11451.058493238237</v>
      </c>
      <c r="CD83" s="64">
        <f t="shared" si="89"/>
        <v>11677.740233378403</v>
      </c>
      <c r="CE83" s="64">
        <f t="shared" si="89"/>
        <v>11896.839027072352</v>
      </c>
      <c r="CF83" s="64">
        <f t="shared" si="89"/>
        <v>12110.437764633058</v>
      </c>
      <c r="CG83" s="64">
        <f t="shared" si="89"/>
        <v>12320.211252826246</v>
      </c>
      <c r="CH83" s="64">
        <f t="shared" si="89"/>
        <v>12527.507958997594</v>
      </c>
      <c r="CI83" s="124">
        <f t="shared" si="89"/>
        <v>12733.415408285724</v>
      </c>
      <c r="CJ83" s="134"/>
    </row>
    <row r="84" spans="1:88" x14ac:dyDescent="0.3">
      <c r="A84" s="33"/>
      <c r="B84" s="68"/>
      <c r="C84" s="21" t="s">
        <v>63</v>
      </c>
      <c r="D84" s="102">
        <f>IFERROR(INDEX('I2015'!B$5:B$73,MATCH($C84,'I2015'!$A$5:$A$73,0)),"")</f>
        <v>0</v>
      </c>
      <c r="E84" s="102">
        <f>IFERROR(INDEX('I2015'!C$5:C$73,MATCH($C84,'I2015'!$A$5:$A$73,0)),"")</f>
        <v>0</v>
      </c>
      <c r="F84" s="102">
        <f>IFERROR(INDEX('I2015'!D$5:D$73,MATCH($C84,'I2015'!$A$5:$A$73,0)),"")</f>
        <v>0</v>
      </c>
      <c r="G84" s="102">
        <f>IFERROR(INDEX('I2015'!E$5:E$73,MATCH($C84,'I2015'!$A$5:$A$73,0)),"")</f>
        <v>0</v>
      </c>
      <c r="H84" s="102">
        <f>IFERROR(INDEX('I2015'!F$5:F$73,MATCH($C84,'I2015'!$A$5:$A$73,0)),"")</f>
        <v>0</v>
      </c>
      <c r="I84" s="102">
        <f>IFERROR(INDEX('I2015'!G$5:G$73,MATCH($C84,'I2015'!$A$5:$A$73,0)),"")</f>
        <v>0</v>
      </c>
      <c r="J84" s="102">
        <f>IFERROR(INDEX('I2015'!H$5:H$73,MATCH($C84,'I2015'!$A$5:$A$73,0)),"")</f>
        <v>0</v>
      </c>
      <c r="K84" s="102">
        <f>IFERROR(INDEX('I2015'!I$5:I$73,MATCH($C84,'I2015'!$A$5:$A$73,0)),"")</f>
        <v>0</v>
      </c>
      <c r="L84" s="102">
        <f>IFERROR(INDEX('I2015'!J$5:J$73,MATCH($C84,'I2015'!$A$5:$A$73,0)),"")</f>
        <v>0</v>
      </c>
      <c r="M84" s="102">
        <f>IFERROR(INDEX('I2015'!K$5:K$73,MATCH($C84,'I2015'!$A$5:$A$73,0)),"")</f>
        <v>582</v>
      </c>
      <c r="N84" s="102">
        <f>IFERROR(INDEX('I2015'!L$5:L$73,MATCH($C84,'I2015'!$A$5:$A$73,0)),"")</f>
        <v>0</v>
      </c>
      <c r="O84" s="102">
        <f>IFERROR(INDEX('I2015'!M$5:M$73,MATCH($C84,'I2015'!$A$5:$A$73,0)),"")</f>
        <v>0</v>
      </c>
      <c r="P84" s="102">
        <f>IFERROR(INDEX('I2016'!B$5:B$90,MATCH($C84,'I2016'!$A$5:$A$90,0)),"")</f>
        <v>0</v>
      </c>
      <c r="Q84" s="102">
        <f>IFERROR(INDEX('I2016'!C$5:C$90,MATCH($C84,'I2016'!$A$5:$A$90,0)),"")</f>
        <v>4.5</v>
      </c>
      <c r="R84" s="102">
        <f>IFERROR(INDEX('I2016'!D$5:D$90,MATCH($C84,'I2016'!$A$5:$A$90,0)),"")</f>
        <v>400</v>
      </c>
      <c r="S84" s="102">
        <f>IFERROR(INDEX('I2016'!E$5:E$90,MATCH($C84,'I2016'!$A$5:$A$90,0)),"")</f>
        <v>0</v>
      </c>
      <c r="T84" s="102">
        <f>IFERROR(INDEX('I2016'!F$5:F$90,MATCH($C84,'I2016'!$A$5:$A$90,0)),"")</f>
        <v>0</v>
      </c>
      <c r="U84" s="102">
        <f>IFERROR(INDEX('I2016'!G$5:G$90,MATCH($C84,'I2016'!$A$5:$A$90,0)),"")</f>
        <v>4.5</v>
      </c>
      <c r="V84" s="102">
        <f>IFERROR(INDEX('I2016'!H$5:H$90,MATCH($C84,'I2016'!$A$5:$A$90,0)),"")</f>
        <v>0</v>
      </c>
      <c r="W84" s="102">
        <f>IFERROR(INDEX('I2016'!I$5:I$90,MATCH($C84,'I2016'!$A$5:$A$90,0)),"")</f>
        <v>0</v>
      </c>
      <c r="X84" s="102">
        <f>IFERROR(INDEX('I2016'!J$5:J$90,MATCH($C84,'I2016'!$A$5:$A$90,0)),"")</f>
        <v>799.95</v>
      </c>
      <c r="Y84" s="102">
        <f>IFERROR(INDEX('I2016'!K$5:K$90,MATCH($C84,'I2016'!$A$5:$A$90,0)),"")</f>
        <v>0</v>
      </c>
      <c r="Z84" s="102">
        <f>IFERROR(INDEX('I2016'!L$5:L$90,MATCH($C84,'I2016'!$A$5:$A$90,0)),"")</f>
        <v>0</v>
      </c>
      <c r="AA84" s="102">
        <f>IFERROR(INDEX('I2016'!M$5:M$90,MATCH($C84,'I2016'!$A$5:$A$90,0)),"")</f>
        <v>0</v>
      </c>
      <c r="AB84" s="102">
        <f>IFERROR(INDEX('I2017'!B$5:B$96,MATCH($C84,'I2017'!$A$5:$A$96,0)),"")</f>
        <v>622.14</v>
      </c>
      <c r="AC84" s="102">
        <f>IFERROR(INDEX('I2017'!C$5:C$96,MATCH($C84,'I2017'!$A$5:$A$96,0)),"")</f>
        <v>502.25</v>
      </c>
      <c r="AD84" s="102">
        <f>IFERROR(INDEX('I2017'!D$5:D$96,MATCH($C84,'I2017'!$A$5:$A$96,0)),"")</f>
        <v>902.37</v>
      </c>
      <c r="AE84" s="102">
        <f>IFERROR(INDEX('I2017'!E$5:E$96,MATCH($C84,'I2017'!$A$5:$A$96,0)),"")</f>
        <v>500</v>
      </c>
      <c r="AF84" s="102">
        <f>IFERROR(INDEX('I2017'!F$5:F$96,MATCH($C84,'I2017'!$A$5:$A$96,0)),"")</f>
        <v>5609.56</v>
      </c>
      <c r="AG84" s="102">
        <f>IFERROR(INDEX('I2017'!G$5:G$96,MATCH($C84,'I2017'!$A$5:$A$96,0)),"")</f>
        <v>309.13</v>
      </c>
      <c r="AH84" s="102">
        <f>IFERROR(INDEX('I2017'!H$5:H$96,MATCH($C84,'I2017'!$A$5:$A$96,0)),"")</f>
        <v>0</v>
      </c>
      <c r="AI84" s="102">
        <f>IFERROR(INDEX('I2017'!I$5:I$96,MATCH($C84,'I2017'!$A$5:$A$96,0)),"")</f>
        <v>0</v>
      </c>
      <c r="AJ84" s="102">
        <f>IFERROR(INDEX('I2017'!J$5:J$96,MATCH($C84,'I2017'!$A$5:$A$96,0)),"")</f>
        <v>0</v>
      </c>
      <c r="AK84" s="102">
        <f>IFERROR(INDEX('I2017'!K$5:K$96,MATCH($C84,'I2017'!$A$5:$A$96,0)),"")</f>
        <v>10</v>
      </c>
      <c r="AL84" s="102">
        <f>IFERROR(INDEX('I2017'!L$5:L$96,MATCH($C84,'I2017'!$A$5:$A$96,0)),"")</f>
        <v>0</v>
      </c>
      <c r="AM84" s="102">
        <f>IFERROR(INDEX('I2017'!M$5:M$96,MATCH($C84,'I2017'!$A$5:$A$96,0)),"")</f>
        <v>0</v>
      </c>
      <c r="AN84" s="102">
        <f>IFERROR(INDEX('I2018'!B$5:B$107,MATCH($C84,'I2018'!$A$5:$A$107,0)),"")</f>
        <v>0</v>
      </c>
      <c r="AO84" s="102">
        <f>IFERROR(INDEX('I2018'!C$5:C$107,MATCH($C84,'I2018'!$A$5:$A$107,0)),"")</f>
        <v>0</v>
      </c>
      <c r="AP84" s="102">
        <f>IFERROR(INDEX('I2018'!D$5:D$107,MATCH($C84,'I2018'!$A$5:$A$107,0)),"")</f>
        <v>0</v>
      </c>
      <c r="AQ84" s="102">
        <f>IFERROR(INDEX('I2018'!E$5:E$107,MATCH($C84,'I2018'!$A$5:$A$107,0)),"")</f>
        <v>0</v>
      </c>
      <c r="AR84" s="102">
        <f>IFERROR(INDEX('I2018'!F$5:F$107,MATCH($C84,'I2018'!$A$5:$A$107,0)),"")</f>
        <v>114.69</v>
      </c>
      <c r="AS84" s="102">
        <f>IFERROR(INDEX('I2018'!G$5:G$107,MATCH($C84,'I2018'!$A$5:$A$107,0)),"")</f>
        <v>0</v>
      </c>
      <c r="AT84" s="102">
        <f>IFERROR(INDEX('I2018'!H$5:H$107,MATCH($C84,'I2018'!$A$5:$A$107,0)),"")</f>
        <v>0</v>
      </c>
      <c r="AU84" s="102">
        <f>IFERROR(INDEX('I2018'!I$5:I$107,MATCH($C84,'I2018'!$A$5:$A$107,0)),"")</f>
        <v>0</v>
      </c>
      <c r="AV84" s="102">
        <f>IFERROR(INDEX('I2018'!J$5:J$107,MATCH($C84,'I2018'!$A$5:$A$107,0)),"")</f>
        <v>457.81</v>
      </c>
      <c r="AW84" s="102">
        <f>IFERROR(INDEX('I2018'!K$5:K$107,MATCH($C84,'I2018'!$A$5:$A$107,0)),"")</f>
        <v>0</v>
      </c>
      <c r="AX84" s="102">
        <f>IFERROR(INDEX('I2018'!L$5:L$107,MATCH($C84,'I2018'!$A$5:$A$107,0)),"")</f>
        <v>0</v>
      </c>
      <c r="AY84" s="102">
        <f>IFERROR(INDEX('I2018'!M$5:M$107,MATCH($C84,'I2018'!$A$5:$A$107,0)),"")</f>
        <v>0</v>
      </c>
      <c r="AZ84" s="102">
        <f>IFERROR(INDEX('I2019'!B$5:B$112,MATCH($C84,'I2019'!$A$5:$A$112,0)),"")</f>
        <v>0</v>
      </c>
      <c r="BA84" s="102">
        <f>IFERROR(INDEX('I2019'!C$5:C$112,MATCH($C84,'I2019'!$A$5:$A$112,0)),"")</f>
        <v>0</v>
      </c>
      <c r="BB84" s="102">
        <f>IFERROR(INDEX('I2019'!D$5:D$112,MATCH($C84,'I2019'!$A$5:$A$112,0)),"")</f>
        <v>2468.63</v>
      </c>
      <c r="BC84" s="102">
        <f>IFERROR(INDEX('I2019'!E$5:E$112,MATCH($C84,'I2019'!$A$5:$A$112,0)),"")</f>
        <v>0</v>
      </c>
      <c r="BD84" s="102">
        <f>IFERROR(INDEX('I2019'!F$5:F$112,MATCH($C84,'I2019'!$A$5:$A$112,0)),"")</f>
        <v>0</v>
      </c>
      <c r="BE84" s="102">
        <f>IFERROR(INDEX('I2019'!G$5:G$112,MATCH($C84,'I2019'!$A$5:$A$112,0)),"")</f>
        <v>0</v>
      </c>
      <c r="BF84" s="102">
        <f>IFERROR(INDEX('I2019'!H$5:H$112,MATCH($C84,'I2019'!$A$5:$A$112,0)),"")</f>
        <v>0</v>
      </c>
      <c r="BG84" s="102">
        <f>IFERROR(INDEX('I2019'!I$5:I$112,MATCH($C84,'I2019'!$A$5:$A$112,0)),"")</f>
        <v>0</v>
      </c>
      <c r="BH84" s="102">
        <f>IFERROR(INDEX('I2019'!J$5:J$112,MATCH($C84,'I2019'!$A$5:$A$112,0)),"")</f>
        <v>0</v>
      </c>
      <c r="BI84" s="102">
        <f>IFERROR(INDEX('I2019'!K$5:K$112,MATCH($C84,'I2019'!$A$5:$A$112,0)),"")</f>
        <v>556.85</v>
      </c>
      <c r="BJ84" s="102">
        <f>IFERROR(INDEX('I2019'!L$5:L$112,MATCH($C84,'I2019'!$A$5:$A$112,0)),"")</f>
        <v>0</v>
      </c>
      <c r="BK84" s="102">
        <f>IFERROR(INDEX('I2019'!M$5:M$112,MATCH($C84,'I2019'!$A$5:$A$112,0)),"")</f>
        <v>0</v>
      </c>
      <c r="BL84" s="102">
        <f>IFERROR(INDEX('I2020'!B$5:B$113,MATCH($C84,'I2020'!$A$5:$A$113,0)),"")</f>
        <v>0</v>
      </c>
      <c r="BM84" s="102">
        <f>IFERROR(INDEX('I2020'!C$5:C$113,MATCH($C84,'I2020'!$A$5:$A$113,0)),"")</f>
        <v>1</v>
      </c>
      <c r="BN84" s="102">
        <f>IFERROR(INDEX('I2020'!D$5:D$113,MATCH($C84,'I2020'!$A$5:$A$113,0)),"")</f>
        <v>21705.51</v>
      </c>
      <c r="BO84" s="102">
        <f>IFERROR(INDEX('I2020'!E$5:E$113,MATCH($C84,'I2020'!$A$5:$A$113,0)),"")</f>
        <v>0</v>
      </c>
      <c r="BP84" s="102">
        <f>IFERROR(INDEX('I2020'!F$5:F$113,MATCH($C84,'I2020'!$A$5:$A$113,0)),"")</f>
        <v>410.98</v>
      </c>
      <c r="BQ84" s="392">
        <f>IFERROR(INDEX('I2020'!G$5:G$113,MATCH($C84,'I2020'!$A$5:$A$113,0)),"")</f>
        <v>7.41</v>
      </c>
      <c r="BR84" s="64"/>
      <c r="BS84" s="64"/>
      <c r="BT84" s="64"/>
      <c r="BU84" s="64"/>
      <c r="BV84" s="64"/>
      <c r="BW84" s="64"/>
      <c r="BX84" s="64"/>
      <c r="BY84" s="64"/>
      <c r="BZ84" s="64"/>
      <c r="CA84" s="64"/>
      <c r="CB84" s="64"/>
      <c r="CC84" s="64"/>
      <c r="CD84" s="64"/>
      <c r="CE84" s="64"/>
      <c r="CF84" s="64"/>
      <c r="CG84" s="64"/>
      <c r="CH84" s="64"/>
      <c r="CI84" s="124"/>
      <c r="CJ84" s="134"/>
    </row>
    <row r="85" spans="1:88" x14ac:dyDescent="0.3">
      <c r="A85" s="33"/>
      <c r="B85" s="167"/>
      <c r="C85" s="21" t="s">
        <v>64</v>
      </c>
      <c r="D85" s="102">
        <f>IFERROR(INDEX('I2015'!B$5:B$73,MATCH($C85,'I2015'!$A$5:$A$73,0)),"")</f>
        <v>195.56</v>
      </c>
      <c r="E85" s="102">
        <f>IFERROR(INDEX('I2015'!C$5:C$73,MATCH($C85,'I2015'!$A$5:$A$73,0)),"")</f>
        <v>641.62</v>
      </c>
      <c r="F85" s="102">
        <f>IFERROR(INDEX('I2015'!D$5:D$73,MATCH($C85,'I2015'!$A$5:$A$73,0)),"")</f>
        <v>1214.57</v>
      </c>
      <c r="G85" s="102">
        <f>IFERROR(INDEX('I2015'!E$5:E$73,MATCH($C85,'I2015'!$A$5:$A$73,0)),"")</f>
        <v>657.6</v>
      </c>
      <c r="H85" s="102">
        <f>IFERROR(INDEX('I2015'!F$5:F$73,MATCH($C85,'I2015'!$A$5:$A$73,0)),"")</f>
        <v>956.11</v>
      </c>
      <c r="I85" s="102">
        <f>IFERROR(INDEX('I2015'!G$5:G$73,MATCH($C85,'I2015'!$A$5:$A$73,0)),"")</f>
        <v>204.57</v>
      </c>
      <c r="J85" s="102">
        <f>IFERROR(INDEX('I2015'!H$5:H$73,MATCH($C85,'I2015'!$A$5:$A$73,0)),"")</f>
        <v>2</v>
      </c>
      <c r="K85" s="102">
        <f>IFERROR(INDEX('I2015'!I$5:I$73,MATCH($C85,'I2015'!$A$5:$A$73,0)),"")</f>
        <v>66.87</v>
      </c>
      <c r="L85" s="102">
        <f>IFERROR(INDEX('I2015'!J$5:J$73,MATCH($C85,'I2015'!$A$5:$A$73,0)),"")</f>
        <v>45.03</v>
      </c>
      <c r="M85" s="102">
        <f>IFERROR(INDEX('I2015'!K$5:K$73,MATCH($C85,'I2015'!$A$5:$A$73,0)),"")</f>
        <v>121.39</v>
      </c>
      <c r="N85" s="102">
        <f>IFERROR(INDEX('I2015'!L$5:L$73,MATCH($C85,'I2015'!$A$5:$A$73,0)),"")</f>
        <v>655.74</v>
      </c>
      <c r="O85" s="102">
        <f>IFERROR(INDEX('I2015'!M$5:M$73,MATCH($C85,'I2015'!$A$5:$A$73,0)),"")</f>
        <v>2</v>
      </c>
      <c r="P85" s="102">
        <f>IFERROR(INDEX('I2016'!B$5:B$90,MATCH($C85,'I2016'!$A$5:$A$90,0)),"")</f>
        <v>384.6</v>
      </c>
      <c r="Q85" s="102">
        <f>IFERROR(INDEX('I2016'!C$5:C$90,MATCH($C85,'I2016'!$A$5:$A$90,0)),"")</f>
        <v>417.73</v>
      </c>
      <c r="R85" s="102">
        <f>IFERROR(INDEX('I2016'!D$5:D$90,MATCH($C85,'I2016'!$A$5:$A$90,0)),"")</f>
        <v>500.97</v>
      </c>
      <c r="S85" s="102">
        <f>IFERROR(INDEX('I2016'!E$5:E$90,MATCH($C85,'I2016'!$A$5:$A$90,0)),"")</f>
        <v>0</v>
      </c>
      <c r="T85" s="102">
        <f>IFERROR(INDEX('I2016'!F$5:F$90,MATCH($C85,'I2016'!$A$5:$A$90,0)),"")</f>
        <v>0</v>
      </c>
      <c r="U85" s="102">
        <f>IFERROR(INDEX('I2016'!G$5:G$90,MATCH($C85,'I2016'!$A$5:$A$90,0)),"")</f>
        <v>0</v>
      </c>
      <c r="V85" s="102">
        <f>IFERROR(INDEX('I2016'!H$5:H$90,MATCH($C85,'I2016'!$A$5:$A$90,0)),"")</f>
        <v>1.8</v>
      </c>
      <c r="W85" s="102">
        <f>IFERROR(INDEX('I2016'!I$5:I$90,MATCH($C85,'I2016'!$A$5:$A$90,0)),"")</f>
        <v>0</v>
      </c>
      <c r="X85" s="102">
        <f>IFERROR(INDEX('I2016'!J$5:J$90,MATCH($C85,'I2016'!$A$5:$A$90,0)),"")</f>
        <v>0</v>
      </c>
      <c r="Y85" s="102">
        <f>IFERROR(INDEX('I2016'!K$5:K$90,MATCH($C85,'I2016'!$A$5:$A$90,0)),"")</f>
        <v>0</v>
      </c>
      <c r="Z85" s="102">
        <f>IFERROR(INDEX('I2016'!L$5:L$90,MATCH($C85,'I2016'!$A$5:$A$90,0)),"")</f>
        <v>306.20999999999998</v>
      </c>
      <c r="AA85" s="102">
        <f>IFERROR(INDEX('I2016'!M$5:M$90,MATCH($C85,'I2016'!$A$5:$A$90,0)),"")</f>
        <v>0</v>
      </c>
      <c r="AB85" s="102">
        <f>IFERROR(INDEX('I2017'!B$5:B$96,MATCH($C85,'I2017'!$A$5:$A$96,0)),"")</f>
        <v>52.13</v>
      </c>
      <c r="AC85" s="102">
        <f>IFERROR(INDEX('I2017'!C$5:C$96,MATCH($C85,'I2017'!$A$5:$A$96,0)),"")</f>
        <v>0</v>
      </c>
      <c r="AD85" s="102">
        <f>IFERROR(INDEX('I2017'!D$5:D$96,MATCH($C85,'I2017'!$A$5:$A$96,0)),"")</f>
        <v>6</v>
      </c>
      <c r="AE85" s="102">
        <f>IFERROR(INDEX('I2017'!E$5:E$96,MATCH($C85,'I2017'!$A$5:$A$96,0)),"")</f>
        <v>248.13</v>
      </c>
      <c r="AF85" s="102">
        <f>IFERROR(INDEX('I2017'!F$5:F$96,MATCH($C85,'I2017'!$A$5:$A$96,0)),"")</f>
        <v>1222.25</v>
      </c>
      <c r="AG85" s="102">
        <f>IFERROR(INDEX('I2017'!G$5:G$96,MATCH($C85,'I2017'!$A$5:$A$96,0)),"")</f>
        <v>172.5</v>
      </c>
      <c r="AH85" s="102">
        <f>IFERROR(INDEX('I2017'!H$5:H$96,MATCH($C85,'I2017'!$A$5:$A$96,0)),"")</f>
        <v>449.24</v>
      </c>
      <c r="AI85" s="102">
        <f>IFERROR(INDEX('I2017'!I$5:I$96,MATCH($C85,'I2017'!$A$5:$A$96,0)),"")</f>
        <v>123.63</v>
      </c>
      <c r="AJ85" s="102">
        <f>IFERROR(INDEX('I2017'!J$5:J$96,MATCH($C85,'I2017'!$A$5:$A$96,0)),"")</f>
        <v>267.85000000000002</v>
      </c>
      <c r="AK85" s="102">
        <f>IFERROR(INDEX('I2017'!K$5:K$96,MATCH($C85,'I2017'!$A$5:$A$96,0)),"")</f>
        <v>117.24</v>
      </c>
      <c r="AL85" s="102">
        <f>IFERROR(INDEX('I2017'!L$5:L$96,MATCH($C85,'I2017'!$A$5:$A$96,0)),"")</f>
        <v>161.01</v>
      </c>
      <c r="AM85" s="102">
        <f>IFERROR(INDEX('I2017'!M$5:M$96,MATCH($C85,'I2017'!$A$5:$A$96,0)),"")</f>
        <v>145.88</v>
      </c>
      <c r="AN85" s="102">
        <f>IFERROR(INDEX('I2018'!B$5:B$107,MATCH($C85,'I2018'!$A$5:$A$107,0)),"")</f>
        <v>94.83</v>
      </c>
      <c r="AO85" s="102">
        <f>IFERROR(INDEX('I2018'!C$5:C$107,MATCH($C85,'I2018'!$A$5:$A$107,0)),"")</f>
        <v>0</v>
      </c>
      <c r="AP85" s="102">
        <f>IFERROR(INDEX('I2018'!D$5:D$107,MATCH($C85,'I2018'!$A$5:$A$107,0)),"")</f>
        <v>132.6</v>
      </c>
      <c r="AQ85" s="102">
        <f>IFERROR(INDEX('I2018'!E$5:E$107,MATCH($C85,'I2018'!$A$5:$A$107,0)),"")</f>
        <v>1475.23</v>
      </c>
      <c r="AR85" s="102">
        <f>IFERROR(INDEX('I2018'!F$5:F$107,MATCH($C85,'I2018'!$A$5:$A$107,0)),"")</f>
        <v>155.16</v>
      </c>
      <c r="AS85" s="102">
        <f>IFERROR(INDEX('I2018'!G$5:G$107,MATCH($C85,'I2018'!$A$5:$A$107,0)),"")</f>
        <v>0</v>
      </c>
      <c r="AT85" s="102">
        <f>IFERROR(INDEX('I2018'!H$5:H$107,MATCH($C85,'I2018'!$A$5:$A$107,0)),"")</f>
        <v>200.4</v>
      </c>
      <c r="AU85" s="102">
        <f>IFERROR(INDEX('I2018'!I$5:I$107,MATCH($C85,'I2018'!$A$5:$A$107,0)),"")</f>
        <v>748.56</v>
      </c>
      <c r="AV85" s="102">
        <f>IFERROR(INDEX('I2018'!J$5:J$107,MATCH($C85,'I2018'!$A$5:$A$107,0)),"")</f>
        <v>958.89</v>
      </c>
      <c r="AW85" s="102">
        <f>IFERROR(INDEX('I2018'!K$5:K$107,MATCH($C85,'I2018'!$A$5:$A$107,0)),"")</f>
        <v>191.21</v>
      </c>
      <c r="AX85" s="102">
        <f>IFERROR(INDEX('I2018'!L$5:L$107,MATCH($C85,'I2018'!$A$5:$A$107,0)),"")</f>
        <v>4301.62</v>
      </c>
      <c r="AY85" s="102">
        <f>IFERROR(INDEX('I2018'!M$5:M$107,MATCH($C85,'I2018'!$A$5:$A$107,0)),"")</f>
        <v>5232.74</v>
      </c>
      <c r="AZ85" s="102">
        <f>IFERROR(INDEX('I2019'!B$5:B$112,MATCH($C85,'I2019'!$A$5:$A$112,0)),"")</f>
        <v>927.58</v>
      </c>
      <c r="BA85" s="102">
        <f>IFERROR(INDEX('I2019'!C$5:C$112,MATCH($C85,'I2019'!$A$5:$A$112,0)),"")</f>
        <v>4435.1099999999997</v>
      </c>
      <c r="BB85" s="102">
        <f>IFERROR(INDEX('I2019'!D$5:D$112,MATCH($C85,'I2019'!$A$5:$A$112,0)),"")</f>
        <v>3231.72</v>
      </c>
      <c r="BC85" s="102">
        <f>IFERROR(INDEX('I2019'!E$5:E$112,MATCH($C85,'I2019'!$A$5:$A$112,0)),"")</f>
        <v>2121.7800000000002</v>
      </c>
      <c r="BD85" s="102">
        <f>IFERROR(INDEX('I2019'!F$5:F$112,MATCH($C85,'I2019'!$A$5:$A$112,0)),"")</f>
        <v>1862.34</v>
      </c>
      <c r="BE85" s="102">
        <f>IFERROR(INDEX('I2019'!G$5:G$112,MATCH($C85,'I2019'!$A$5:$A$112,0)),"")</f>
        <v>3216.11</v>
      </c>
      <c r="BF85" s="102">
        <f>IFERROR(INDEX('I2019'!H$5:H$112,MATCH($C85,'I2019'!$A$5:$A$112,0)),"")</f>
        <v>4368.58</v>
      </c>
      <c r="BG85" s="102">
        <f>IFERROR(INDEX('I2019'!I$5:I$112,MATCH($C85,'I2019'!$A$5:$A$112,0)),"")</f>
        <v>366.35</v>
      </c>
      <c r="BH85" s="102">
        <f>IFERROR(INDEX('I2019'!J$5:J$112,MATCH($C85,'I2019'!$A$5:$A$112,0)),"")</f>
        <v>2496.5500000000002</v>
      </c>
      <c r="BI85" s="102">
        <f>IFERROR(INDEX('I2019'!K$5:K$112,MATCH($C85,'I2019'!$A$5:$A$112,0)),"")</f>
        <v>4440.67</v>
      </c>
      <c r="BJ85" s="102">
        <f>IFERROR(INDEX('I2019'!L$5:L$112,MATCH($C85,'I2019'!$A$5:$A$112,0)),"")</f>
        <v>3961.22</v>
      </c>
      <c r="BK85" s="102">
        <f>IFERROR(INDEX('I2019'!M$5:M$112,MATCH($C85,'I2019'!$A$5:$A$112,0)),"")</f>
        <v>4031.97</v>
      </c>
      <c r="BL85" s="102">
        <f>IFERROR(INDEX('I2020'!B$5:B$113,MATCH($C85,'I2020'!$A$5:$A$113,0)),"")</f>
        <v>2785.19</v>
      </c>
      <c r="BM85" s="102">
        <f>IFERROR(INDEX('I2020'!C$5:C$113,MATCH($C85,'I2020'!$A$5:$A$113,0)),"")</f>
        <v>3105.1</v>
      </c>
      <c r="BN85" s="102">
        <f>IFERROR(INDEX('I2020'!D$5:D$113,MATCH($C85,'I2020'!$A$5:$A$113,0)),"")</f>
        <v>290.77999999999997</v>
      </c>
      <c r="BO85" s="102">
        <f>IFERROR(INDEX('I2020'!E$5:E$113,MATCH($C85,'I2020'!$A$5:$A$113,0)),"")</f>
        <v>-35.97</v>
      </c>
      <c r="BP85" s="102">
        <f>IFERROR(INDEX('I2020'!F$5:F$113,MATCH($C85,'I2020'!$A$5:$A$113,0)),"")</f>
        <v>24.24</v>
      </c>
      <c r="BQ85" s="392">
        <f>IFERROR(INDEX('I2020'!G$5:G$113,MATCH($C85,'I2020'!$A$5:$A$113,0)),"")</f>
        <v>120</v>
      </c>
      <c r="BR85" s="64"/>
      <c r="BS85" s="64"/>
      <c r="BT85" s="64"/>
      <c r="BU85" s="64"/>
      <c r="BV85" s="64"/>
      <c r="BW85" s="64"/>
      <c r="BX85" s="64"/>
      <c r="BY85" s="64"/>
      <c r="BZ85" s="64"/>
      <c r="CA85" s="64"/>
      <c r="CB85" s="64"/>
      <c r="CC85" s="64"/>
      <c r="CD85" s="64"/>
      <c r="CE85" s="64"/>
      <c r="CF85" s="64"/>
      <c r="CG85" s="64"/>
      <c r="CH85" s="64"/>
      <c r="CI85" s="124"/>
      <c r="CJ85" s="134"/>
    </row>
    <row r="86" spans="1:88" x14ac:dyDescent="0.3">
      <c r="A86" s="33"/>
      <c r="B86" s="68"/>
      <c r="C86" s="21" t="s">
        <v>65</v>
      </c>
      <c r="D86" s="102">
        <f>IFERROR(INDEX('I2015'!B$5:B$73,MATCH($C86,'I2015'!$A$5:$A$73,0)),"")</f>
        <v>0</v>
      </c>
      <c r="E86" s="102">
        <f>IFERROR(INDEX('I2015'!C$5:C$73,MATCH($C86,'I2015'!$A$5:$A$73,0)),"")</f>
        <v>355.01</v>
      </c>
      <c r="F86" s="102">
        <f>IFERROR(INDEX('I2015'!D$5:D$73,MATCH($C86,'I2015'!$A$5:$A$73,0)),"")</f>
        <v>355.5</v>
      </c>
      <c r="G86" s="102">
        <f>IFERROR(INDEX('I2015'!E$5:E$73,MATCH($C86,'I2015'!$A$5:$A$73,0)),"")</f>
        <v>616.57000000000005</v>
      </c>
      <c r="H86" s="102">
        <f>IFERROR(INDEX('I2015'!F$5:F$73,MATCH($C86,'I2015'!$A$5:$A$73,0)),"")</f>
        <v>673.47</v>
      </c>
      <c r="I86" s="102">
        <f>IFERROR(INDEX('I2015'!G$5:G$73,MATCH($C86,'I2015'!$A$5:$A$73,0)),"")</f>
        <v>303.27</v>
      </c>
      <c r="J86" s="102">
        <f>IFERROR(INDEX('I2015'!H$5:H$73,MATCH($C86,'I2015'!$A$5:$A$73,0)),"")</f>
        <v>20.65</v>
      </c>
      <c r="K86" s="102">
        <f>IFERROR(INDEX('I2015'!I$5:I$73,MATCH($C86,'I2015'!$A$5:$A$73,0)),"")</f>
        <v>43.28</v>
      </c>
      <c r="L86" s="102">
        <f>IFERROR(INDEX('I2015'!J$5:J$73,MATCH($C86,'I2015'!$A$5:$A$73,0)),"")</f>
        <v>78.03</v>
      </c>
      <c r="M86" s="102">
        <f>IFERROR(INDEX('I2015'!K$5:K$73,MATCH($C86,'I2015'!$A$5:$A$73,0)),"")</f>
        <v>85.45</v>
      </c>
      <c r="N86" s="102">
        <f>IFERROR(INDEX('I2015'!L$5:L$73,MATCH($C86,'I2015'!$A$5:$A$73,0)),"")</f>
        <v>28.09</v>
      </c>
      <c r="O86" s="102">
        <f>IFERROR(INDEX('I2015'!M$5:M$73,MATCH($C86,'I2015'!$A$5:$A$73,0)),"")</f>
        <v>178.77</v>
      </c>
      <c r="P86" s="102">
        <f>IFERROR(INDEX('I2016'!B$5:B$90,MATCH($C86,'I2016'!$A$5:$A$90,0)),"")</f>
        <v>96.03</v>
      </c>
      <c r="Q86" s="102">
        <f>IFERROR(INDEX('I2016'!C$5:C$90,MATCH($C86,'I2016'!$A$5:$A$90,0)),"")</f>
        <v>75.150000000000006</v>
      </c>
      <c r="R86" s="102">
        <f>IFERROR(INDEX('I2016'!D$5:D$90,MATCH($C86,'I2016'!$A$5:$A$90,0)),"")</f>
        <v>975.23</v>
      </c>
      <c r="S86" s="102">
        <f>IFERROR(INDEX('I2016'!E$5:E$90,MATCH($C86,'I2016'!$A$5:$A$90,0)),"")</f>
        <v>289.79000000000002</v>
      </c>
      <c r="T86" s="102">
        <f>IFERROR(INDEX('I2016'!F$5:F$90,MATCH($C86,'I2016'!$A$5:$A$90,0)),"")</f>
        <v>173.54</v>
      </c>
      <c r="U86" s="102">
        <f>IFERROR(INDEX('I2016'!G$5:G$90,MATCH($C86,'I2016'!$A$5:$A$90,0)),"")</f>
        <v>-0.09</v>
      </c>
      <c r="V86" s="102">
        <f>IFERROR(INDEX('I2016'!H$5:H$90,MATCH($C86,'I2016'!$A$5:$A$90,0)),"")</f>
        <v>24</v>
      </c>
      <c r="W86" s="102">
        <f>IFERROR(INDEX('I2016'!I$5:I$90,MATCH($C86,'I2016'!$A$5:$A$90,0)),"")</f>
        <v>53.14</v>
      </c>
      <c r="X86" s="102">
        <f>IFERROR(INDEX('I2016'!J$5:J$90,MATCH($C86,'I2016'!$A$5:$A$90,0)),"")</f>
        <v>0</v>
      </c>
      <c r="Y86" s="102">
        <f>IFERROR(INDEX('I2016'!K$5:K$90,MATCH($C86,'I2016'!$A$5:$A$90,0)),"")</f>
        <v>110.73</v>
      </c>
      <c r="Z86" s="102">
        <f>IFERROR(INDEX('I2016'!L$5:L$90,MATCH($C86,'I2016'!$A$5:$A$90,0)),"")</f>
        <v>301.45999999999998</v>
      </c>
      <c r="AA86" s="102">
        <f>IFERROR(INDEX('I2016'!M$5:M$90,MATCH($C86,'I2016'!$A$5:$A$90,0)),"")</f>
        <v>91.14</v>
      </c>
      <c r="AB86" s="102">
        <f>IFERROR(INDEX('I2017'!B$5:B$96,MATCH($C86,'I2017'!$A$5:$A$96,0)),"")</f>
        <v>172.17</v>
      </c>
      <c r="AC86" s="102">
        <f>IFERROR(INDEX('I2017'!C$5:C$96,MATCH($C86,'I2017'!$A$5:$A$96,0)),"")</f>
        <v>232.29</v>
      </c>
      <c r="AD86" s="102">
        <f>IFERROR(INDEX('I2017'!D$5:D$96,MATCH($C86,'I2017'!$A$5:$A$96,0)),"")</f>
        <v>161.69999999999999</v>
      </c>
      <c r="AE86" s="102">
        <f>IFERROR(INDEX('I2017'!E$5:E$96,MATCH($C86,'I2017'!$A$5:$A$96,0)),"")</f>
        <v>412.52</v>
      </c>
      <c r="AF86" s="102">
        <f>IFERROR(INDEX('I2017'!F$5:F$96,MATCH($C86,'I2017'!$A$5:$A$96,0)),"")</f>
        <v>302.62</v>
      </c>
      <c r="AG86" s="102">
        <f>IFERROR(INDEX('I2017'!G$5:G$96,MATCH($C86,'I2017'!$A$5:$A$96,0)),"")</f>
        <v>402.93</v>
      </c>
      <c r="AH86" s="102">
        <f>IFERROR(INDEX('I2017'!H$5:H$96,MATCH($C86,'I2017'!$A$5:$A$96,0)),"")</f>
        <v>188.64</v>
      </c>
      <c r="AI86" s="102">
        <f>IFERROR(INDEX('I2017'!I$5:I$96,MATCH($C86,'I2017'!$A$5:$A$96,0)),"")</f>
        <v>75.44</v>
      </c>
      <c r="AJ86" s="102">
        <f>IFERROR(INDEX('I2017'!J$5:J$96,MATCH($C86,'I2017'!$A$5:$A$96,0)),"")</f>
        <v>112.29</v>
      </c>
      <c r="AK86" s="102">
        <f>IFERROR(INDEX('I2017'!K$5:K$96,MATCH($C86,'I2017'!$A$5:$A$96,0)),"")</f>
        <v>100</v>
      </c>
      <c r="AL86" s="102">
        <f>IFERROR(INDEX('I2017'!L$5:L$96,MATCH($C86,'I2017'!$A$5:$A$96,0)),"")</f>
        <v>88.2</v>
      </c>
      <c r="AM86" s="102">
        <f>IFERROR(INDEX('I2017'!M$5:M$96,MATCH($C86,'I2017'!$A$5:$A$96,0)),"")</f>
        <v>95.21</v>
      </c>
      <c r="AN86" s="102">
        <f>IFERROR(INDEX('I2018'!B$5:B$107,MATCH($C86,'I2018'!$A$5:$A$107,0)),"")</f>
        <v>46</v>
      </c>
      <c r="AO86" s="102">
        <f>IFERROR(INDEX('I2018'!C$5:C$107,MATCH($C86,'I2018'!$A$5:$A$107,0)),"")</f>
        <v>11.5</v>
      </c>
      <c r="AP86" s="102">
        <f>IFERROR(INDEX('I2018'!D$5:D$107,MATCH($C86,'I2018'!$A$5:$A$107,0)),"")</f>
        <v>578.59</v>
      </c>
      <c r="AQ86" s="102">
        <f>IFERROR(INDEX('I2018'!E$5:E$107,MATCH($C86,'I2018'!$A$5:$A$107,0)),"")</f>
        <v>655.48</v>
      </c>
      <c r="AR86" s="102">
        <f>IFERROR(INDEX('I2018'!F$5:F$107,MATCH($C86,'I2018'!$A$5:$A$107,0)),"")</f>
        <v>541.62</v>
      </c>
      <c r="AS86" s="102">
        <f>IFERROR(INDEX('I2018'!G$5:G$107,MATCH($C86,'I2018'!$A$5:$A$107,0)),"")</f>
        <v>275.05</v>
      </c>
      <c r="AT86" s="102">
        <f>IFERROR(INDEX('I2018'!H$5:H$107,MATCH($C86,'I2018'!$A$5:$A$107,0)),"")</f>
        <v>203.03</v>
      </c>
      <c r="AU86" s="102">
        <f>IFERROR(INDEX('I2018'!I$5:I$107,MATCH($C86,'I2018'!$A$5:$A$107,0)),"")</f>
        <v>842.48</v>
      </c>
      <c r="AV86" s="102">
        <f>IFERROR(INDEX('I2018'!J$5:J$107,MATCH($C86,'I2018'!$A$5:$A$107,0)),"")</f>
        <v>696.02</v>
      </c>
      <c r="AW86" s="102">
        <f>IFERROR(INDEX('I2018'!K$5:K$107,MATCH($C86,'I2018'!$A$5:$A$107,0)),"")</f>
        <v>366.1</v>
      </c>
      <c r="AX86" s="102">
        <f>IFERROR(INDEX('I2018'!L$5:L$107,MATCH($C86,'I2018'!$A$5:$A$107,0)),"")</f>
        <v>1120.7</v>
      </c>
      <c r="AY86" s="102">
        <f>IFERROR(INDEX('I2018'!M$5:M$107,MATCH($C86,'I2018'!$A$5:$A$107,0)),"")</f>
        <v>578.19000000000005</v>
      </c>
      <c r="AZ86" s="102">
        <f>IFERROR(INDEX('I2019'!B$5:B$112,MATCH($C86,'I2019'!$A$5:$A$112,0)),"")</f>
        <v>602.9</v>
      </c>
      <c r="BA86" s="102">
        <f>IFERROR(INDEX('I2019'!C$5:C$112,MATCH($C86,'I2019'!$A$5:$A$112,0)),"")</f>
        <v>221.21</v>
      </c>
      <c r="BB86" s="102">
        <f>IFERROR(INDEX('I2019'!D$5:D$112,MATCH($C86,'I2019'!$A$5:$A$112,0)),"")</f>
        <v>2074.19</v>
      </c>
      <c r="BC86" s="102">
        <f>IFERROR(INDEX('I2019'!E$5:E$112,MATCH($C86,'I2019'!$A$5:$A$112,0)),"")</f>
        <v>1170.9000000000001</v>
      </c>
      <c r="BD86" s="102">
        <f>IFERROR(INDEX('I2019'!F$5:F$112,MATCH($C86,'I2019'!$A$5:$A$112,0)),"")</f>
        <v>933.9</v>
      </c>
      <c r="BE86" s="102">
        <f>IFERROR(INDEX('I2019'!G$5:G$112,MATCH($C86,'I2019'!$A$5:$A$112,0)),"")</f>
        <v>1473.43</v>
      </c>
      <c r="BF86" s="102">
        <f>IFERROR(INDEX('I2019'!H$5:H$112,MATCH($C86,'I2019'!$A$5:$A$112,0)),"")</f>
        <v>1195.04</v>
      </c>
      <c r="BG86" s="102">
        <f>IFERROR(INDEX('I2019'!I$5:I$112,MATCH($C86,'I2019'!$A$5:$A$112,0)),"")</f>
        <v>975.83</v>
      </c>
      <c r="BH86" s="102">
        <f>IFERROR(INDEX('I2019'!J$5:J$112,MATCH($C86,'I2019'!$A$5:$A$112,0)),"")</f>
        <v>1978.34</v>
      </c>
      <c r="BI86" s="102">
        <f>IFERROR(INDEX('I2019'!K$5:K$112,MATCH($C86,'I2019'!$A$5:$A$112,0)),"")</f>
        <v>324.12</v>
      </c>
      <c r="BJ86" s="102">
        <f>IFERROR(INDEX('I2019'!L$5:L$112,MATCH($C86,'I2019'!$A$5:$A$112,0)),"")</f>
        <v>597.41</v>
      </c>
      <c r="BK86" s="102">
        <f>IFERROR(INDEX('I2019'!M$5:M$112,MATCH($C86,'I2019'!$A$5:$A$112,0)),"")</f>
        <v>267.44</v>
      </c>
      <c r="BL86" s="102">
        <f>IFERROR(INDEX('I2020'!B$5:B$113,MATCH($C86,'I2020'!$A$5:$A$113,0)),"")</f>
        <v>296.05</v>
      </c>
      <c r="BM86" s="102">
        <f>IFERROR(INDEX('I2020'!C$5:C$113,MATCH($C86,'I2020'!$A$5:$A$113,0)),"")</f>
        <v>173.64</v>
      </c>
      <c r="BN86" s="102">
        <f>IFERROR(INDEX('I2020'!D$5:D$113,MATCH($C86,'I2020'!$A$5:$A$113,0)),"")</f>
        <v>858.9</v>
      </c>
      <c r="BO86" s="102">
        <f>IFERROR(INDEX('I2020'!E$5:E$113,MATCH($C86,'I2020'!$A$5:$A$113,0)),"")</f>
        <v>2064.17</v>
      </c>
      <c r="BP86" s="102">
        <f>IFERROR(INDEX('I2020'!F$5:F$113,MATCH($C86,'I2020'!$A$5:$A$113,0)),"")</f>
        <v>635</v>
      </c>
      <c r="BQ86" s="392">
        <f>IFERROR(INDEX('I2020'!G$5:G$113,MATCH($C86,'I2020'!$A$5:$A$113,0)),"")</f>
        <v>0</v>
      </c>
      <c r="BR86" s="64"/>
      <c r="BS86" s="64"/>
      <c r="BT86" s="64"/>
      <c r="BU86" s="64"/>
      <c r="BV86" s="64"/>
      <c r="BW86" s="64"/>
      <c r="BX86" s="64"/>
      <c r="BY86" s="64"/>
      <c r="BZ86" s="64"/>
      <c r="CA86" s="64"/>
      <c r="CB86" s="64"/>
      <c r="CC86" s="64"/>
      <c r="CD86" s="64"/>
      <c r="CE86" s="64"/>
      <c r="CF86" s="64"/>
      <c r="CG86" s="64"/>
      <c r="CH86" s="64"/>
      <c r="CI86" s="124"/>
      <c r="CJ86" s="134"/>
    </row>
    <row r="87" spans="1:88" x14ac:dyDescent="0.3">
      <c r="A87" s="33" t="s">
        <v>455</v>
      </c>
      <c r="B87" s="168">
        <v>1E-3</v>
      </c>
      <c r="C87" s="21" t="s">
        <v>66</v>
      </c>
      <c r="D87" s="102">
        <f>IFERROR(INDEX('I2015'!B$5:B$73,MATCH($C87,'I2015'!$A$5:$A$73,0)),"")</f>
        <v>195.56</v>
      </c>
      <c r="E87" s="102">
        <f>IFERROR(INDEX('I2015'!C$5:C$73,MATCH($C87,'I2015'!$A$5:$A$73,0)),"")</f>
        <v>996.63</v>
      </c>
      <c r="F87" s="102">
        <f>IFERROR(INDEX('I2015'!D$5:D$73,MATCH($C87,'I2015'!$A$5:$A$73,0)),"")</f>
        <v>1570.07</v>
      </c>
      <c r="G87" s="102">
        <f>IFERROR(INDEX('I2015'!E$5:E$73,MATCH($C87,'I2015'!$A$5:$A$73,0)),"")</f>
        <v>1274.17</v>
      </c>
      <c r="H87" s="102">
        <f>IFERROR(INDEX('I2015'!F$5:F$73,MATCH($C87,'I2015'!$A$5:$A$73,0)),"")</f>
        <v>1629.58</v>
      </c>
      <c r="I87" s="102">
        <f>IFERROR(INDEX('I2015'!G$5:G$73,MATCH($C87,'I2015'!$A$5:$A$73,0)),"")</f>
        <v>507.84</v>
      </c>
      <c r="J87" s="102">
        <f>IFERROR(INDEX('I2015'!H$5:H$73,MATCH($C87,'I2015'!$A$5:$A$73,0)),"")</f>
        <v>22.65</v>
      </c>
      <c r="K87" s="102">
        <f>IFERROR(INDEX('I2015'!I$5:I$73,MATCH($C87,'I2015'!$A$5:$A$73,0)),"")</f>
        <v>110.15</v>
      </c>
      <c r="L87" s="102">
        <f>IFERROR(INDEX('I2015'!J$5:J$73,MATCH($C87,'I2015'!$A$5:$A$73,0)),"")</f>
        <v>123.06</v>
      </c>
      <c r="M87" s="102">
        <f>IFERROR(INDEX('I2015'!K$5:K$73,MATCH($C87,'I2015'!$A$5:$A$73,0)),"")</f>
        <v>206.84</v>
      </c>
      <c r="N87" s="102">
        <f>IFERROR(INDEX('I2015'!L$5:L$73,MATCH($C87,'I2015'!$A$5:$A$73,0)),"")</f>
        <v>683.83</v>
      </c>
      <c r="O87" s="102">
        <f>IFERROR(INDEX('I2015'!M$5:M$73,MATCH($C87,'I2015'!$A$5:$A$73,0)),"")</f>
        <v>180.77</v>
      </c>
      <c r="P87" s="102">
        <f>IFERROR(INDEX('I2016'!B$5:B$90,MATCH($C87,'I2016'!$A$5:$A$90,0)),"")</f>
        <v>480.63</v>
      </c>
      <c r="Q87" s="102">
        <f>IFERROR(INDEX('I2016'!C$5:C$90,MATCH($C87,'I2016'!$A$5:$A$90,0)),"")</f>
        <v>492.88</v>
      </c>
      <c r="R87" s="102">
        <f>IFERROR(INDEX('I2016'!D$5:D$90,MATCH($C87,'I2016'!$A$5:$A$90,0)),"")</f>
        <v>1476.2</v>
      </c>
      <c r="S87" s="102">
        <f>IFERROR(INDEX('I2016'!E$5:E$90,MATCH($C87,'I2016'!$A$5:$A$90,0)),"")</f>
        <v>289.79000000000002</v>
      </c>
      <c r="T87" s="102">
        <f>IFERROR(INDEX('I2016'!F$5:F$90,MATCH($C87,'I2016'!$A$5:$A$90,0)),"")</f>
        <v>173.54</v>
      </c>
      <c r="U87" s="102">
        <f>IFERROR(INDEX('I2016'!G$5:G$90,MATCH($C87,'I2016'!$A$5:$A$90,0)),"")</f>
        <v>-0.09</v>
      </c>
      <c r="V87" s="102">
        <f>IFERROR(INDEX('I2016'!H$5:H$90,MATCH($C87,'I2016'!$A$5:$A$90,0)),"")</f>
        <v>25.8</v>
      </c>
      <c r="W87" s="102">
        <f>IFERROR(INDEX('I2016'!I$5:I$90,MATCH($C87,'I2016'!$A$5:$A$90,0)),"")</f>
        <v>53.14</v>
      </c>
      <c r="X87" s="102">
        <f>IFERROR(INDEX('I2016'!J$5:J$90,MATCH($C87,'I2016'!$A$5:$A$90,0)),"")</f>
        <v>0</v>
      </c>
      <c r="Y87" s="102">
        <f>IFERROR(INDEX('I2016'!K$5:K$90,MATCH($C87,'I2016'!$A$5:$A$90,0)),"")</f>
        <v>110.73</v>
      </c>
      <c r="Z87" s="102">
        <f>IFERROR(INDEX('I2016'!L$5:L$90,MATCH($C87,'I2016'!$A$5:$A$90,0)),"")</f>
        <v>607.66999999999996</v>
      </c>
      <c r="AA87" s="102">
        <f>IFERROR(INDEX('I2016'!M$5:M$90,MATCH($C87,'I2016'!$A$5:$A$90,0)),"")</f>
        <v>91.14</v>
      </c>
      <c r="AB87" s="102">
        <f>IFERROR(INDEX('I2017'!B$5:B$96,MATCH($C87,'I2017'!$A$5:$A$96,0)),"")</f>
        <v>224.29999999999998</v>
      </c>
      <c r="AC87" s="102">
        <f>IFERROR(INDEX('I2017'!C$5:C$96,MATCH($C87,'I2017'!$A$5:$A$96,0)),"")</f>
        <v>232.29</v>
      </c>
      <c r="AD87" s="102">
        <f>IFERROR(INDEX('I2017'!D$5:D$96,MATCH($C87,'I2017'!$A$5:$A$96,0)),"")</f>
        <v>167.7</v>
      </c>
      <c r="AE87" s="102">
        <f>IFERROR(INDEX('I2017'!E$5:E$96,MATCH($C87,'I2017'!$A$5:$A$96,0)),"")</f>
        <v>660.65</v>
      </c>
      <c r="AF87" s="102">
        <f>IFERROR(INDEX('I2017'!F$5:F$96,MATCH($C87,'I2017'!$A$5:$A$96,0)),"")</f>
        <v>1524.87</v>
      </c>
      <c r="AG87" s="102">
        <f>IFERROR(INDEX('I2017'!G$5:G$96,MATCH($C87,'I2017'!$A$5:$A$96,0)),"")</f>
        <v>575.43000000000006</v>
      </c>
      <c r="AH87" s="102">
        <f>IFERROR(INDEX('I2017'!H$5:H$96,MATCH($C87,'I2017'!$A$5:$A$96,0)),"")</f>
        <v>637.88</v>
      </c>
      <c r="AI87" s="102">
        <f>IFERROR(INDEX('I2017'!I$5:I$96,MATCH($C87,'I2017'!$A$5:$A$96,0)),"")</f>
        <v>199.07</v>
      </c>
      <c r="AJ87" s="102">
        <f>IFERROR(INDEX('I2017'!J$5:J$96,MATCH($C87,'I2017'!$A$5:$A$96,0)),"")</f>
        <v>380.14000000000004</v>
      </c>
      <c r="AK87" s="102">
        <f>IFERROR(INDEX('I2017'!K$5:K$96,MATCH($C87,'I2017'!$A$5:$A$96,0)),"")</f>
        <v>217.24</v>
      </c>
      <c r="AL87" s="102">
        <f>IFERROR(INDEX('I2017'!L$5:L$96,MATCH($C87,'I2017'!$A$5:$A$96,0)),"")</f>
        <v>249.20999999999998</v>
      </c>
      <c r="AM87" s="102">
        <f>IFERROR(INDEX('I2017'!M$5:M$96,MATCH($C87,'I2017'!$A$5:$A$96,0)),"")</f>
        <v>241.08999999999997</v>
      </c>
      <c r="AN87" s="102">
        <f>IFERROR(INDEX('I2018'!B$5:B$107,MATCH($C87,'I2018'!$A$5:$A$107,0)),"")</f>
        <v>140.82999999999998</v>
      </c>
      <c r="AO87" s="102">
        <f>IFERROR(INDEX('I2018'!C$5:C$107,MATCH($C87,'I2018'!$A$5:$A$107,0)),"")</f>
        <v>11.5</v>
      </c>
      <c r="AP87" s="102">
        <f>IFERROR(INDEX('I2018'!D$5:D$107,MATCH($C87,'I2018'!$A$5:$A$107,0)),"")</f>
        <v>711.19</v>
      </c>
      <c r="AQ87" s="102">
        <f>IFERROR(INDEX('I2018'!E$5:E$107,MATCH($C87,'I2018'!$A$5:$A$107,0)),"")</f>
        <v>2130.71</v>
      </c>
      <c r="AR87" s="102">
        <f>IFERROR(INDEX('I2018'!F$5:F$107,MATCH($C87,'I2018'!$A$5:$A$107,0)),"")</f>
        <v>696.78</v>
      </c>
      <c r="AS87" s="102">
        <f>IFERROR(INDEX('I2018'!G$5:G$107,MATCH($C87,'I2018'!$A$5:$A$107,0)),"")</f>
        <v>275.05</v>
      </c>
      <c r="AT87" s="102">
        <f>IFERROR(INDEX('I2018'!H$5:H$107,MATCH($C87,'I2018'!$A$5:$A$107,0)),"")</f>
        <v>403.43</v>
      </c>
      <c r="AU87" s="102">
        <f>IFERROR(INDEX('I2018'!I$5:I$107,MATCH($C87,'I2018'!$A$5:$A$107,0)),"")</f>
        <v>1591.04</v>
      </c>
      <c r="AV87" s="102">
        <f>IFERROR(INDEX('I2018'!J$5:J$107,MATCH($C87,'I2018'!$A$5:$A$107,0)),"")</f>
        <v>1654.9099999999999</v>
      </c>
      <c r="AW87" s="102">
        <f>IFERROR(INDEX('I2018'!K$5:K$107,MATCH($C87,'I2018'!$A$5:$A$107,0)),"")</f>
        <v>557.31000000000006</v>
      </c>
      <c r="AX87" s="102">
        <f>IFERROR(INDEX('I2018'!L$5:L$107,MATCH($C87,'I2018'!$A$5:$A$107,0)),"")</f>
        <v>5422.32</v>
      </c>
      <c r="AY87" s="102">
        <f>IFERROR(INDEX('I2018'!M$5:M$107,MATCH($C87,'I2018'!$A$5:$A$107,0)),"")</f>
        <v>5810.93</v>
      </c>
      <c r="AZ87" s="102">
        <f>IFERROR(INDEX('I2019'!B$5:B$112,MATCH($C87,'I2019'!$A$5:$A$112,0)),"")</f>
        <v>1530.48</v>
      </c>
      <c r="BA87" s="102">
        <f>IFERROR(INDEX('I2019'!C$5:C$112,MATCH($C87,'I2019'!$A$5:$A$112,0)),"")</f>
        <v>4656.32</v>
      </c>
      <c r="BB87" s="102">
        <f>IFERROR(INDEX('I2019'!D$5:D$112,MATCH($C87,'I2019'!$A$5:$A$112,0)),"")</f>
        <v>5305.91</v>
      </c>
      <c r="BC87" s="102">
        <f>IFERROR(INDEX('I2019'!E$5:E$112,MATCH($C87,'I2019'!$A$5:$A$112,0)),"")</f>
        <v>3292.6800000000003</v>
      </c>
      <c r="BD87" s="102">
        <f>IFERROR(INDEX('I2019'!F$5:F$112,MATCH($C87,'I2019'!$A$5:$A$112,0)),"")</f>
        <v>2796.24</v>
      </c>
      <c r="BE87" s="102">
        <f>IFERROR(INDEX('I2019'!G$5:G$112,MATCH($C87,'I2019'!$A$5:$A$112,0)),"")</f>
        <v>4689.54</v>
      </c>
      <c r="BF87" s="102">
        <f>IFERROR(INDEX('I2019'!H$5:H$112,MATCH($C87,'I2019'!$A$5:$A$112,0)),"")</f>
        <v>5563.62</v>
      </c>
      <c r="BG87" s="102">
        <f>IFERROR(INDEX('I2019'!I$5:I$112,MATCH($C87,'I2019'!$A$5:$A$112,0)),"")</f>
        <v>1342.18</v>
      </c>
      <c r="BH87" s="102">
        <f>IFERROR(INDEX('I2019'!J$5:J$112,MATCH($C87,'I2019'!$A$5:$A$112,0)),"")</f>
        <v>4474.8900000000003</v>
      </c>
      <c r="BI87" s="102">
        <f>IFERROR(INDEX('I2019'!K$5:K$112,MATCH($C87,'I2019'!$A$5:$A$112,0)),"")</f>
        <v>4764.79</v>
      </c>
      <c r="BJ87" s="102">
        <f>IFERROR(INDEX('I2019'!L$5:L$112,MATCH($C87,'I2019'!$A$5:$A$112,0)),"")</f>
        <v>4558.63</v>
      </c>
      <c r="BK87" s="102">
        <f>IFERROR(INDEX('I2019'!M$5:M$112,MATCH($C87,'I2019'!$A$5:$A$112,0)),"")</f>
        <v>4299.41</v>
      </c>
      <c r="BL87" s="102">
        <f>IFERROR(INDEX('I2020'!B$5:B$113,MATCH($C87,'I2020'!$A$5:$A$113,0)),"")</f>
        <v>3081.2400000000002</v>
      </c>
      <c r="BM87" s="102">
        <f>IFERROR(INDEX('I2020'!C$5:C$113,MATCH($C87,'I2020'!$A$5:$A$113,0)),"")</f>
        <v>3278.74</v>
      </c>
      <c r="BN87" s="102">
        <f>IFERROR(INDEX('I2020'!D$5:D$113,MATCH($C87,'I2020'!$A$5:$A$113,0)),"")</f>
        <v>1149.6799999999998</v>
      </c>
      <c r="BO87" s="102">
        <f>IFERROR(INDEX('I2020'!E$5:E$113,MATCH($C87,'I2020'!$A$5:$A$113,0)),"")</f>
        <v>2028.2</v>
      </c>
      <c r="BP87" s="102">
        <f>IFERROR(INDEX('I2020'!F$5:F$113,MATCH($C87,'I2020'!$A$5:$A$113,0)),"")</f>
        <v>659.24</v>
      </c>
      <c r="BQ87" s="392">
        <f>IFERROR(INDEX('I2020'!G$5:G$113,MATCH($C87,'I2020'!$A$5:$A$113,0)),"")</f>
        <v>120</v>
      </c>
      <c r="BR87" s="64">
        <f t="shared" ref="BQ87:CI87" si="90">$B87*BR$31</f>
        <v>2826.5905909683206</v>
      </c>
      <c r="BS87" s="64">
        <f t="shared" si="90"/>
        <v>2866.2770032010758</v>
      </c>
      <c r="BT87" s="64">
        <f t="shared" si="90"/>
        <v>2934.3264048128653</v>
      </c>
      <c r="BU87" s="64">
        <f t="shared" si="90"/>
        <v>3027.2442142374171</v>
      </c>
      <c r="BV87" s="64">
        <f t="shared" si="90"/>
        <v>3142.3654472002863</v>
      </c>
      <c r="BW87" s="64">
        <f t="shared" si="90"/>
        <v>3277.6966381192024</v>
      </c>
      <c r="BX87" s="64">
        <f t="shared" si="90"/>
        <v>3397.4186550597205</v>
      </c>
      <c r="BY87" s="64">
        <f t="shared" si="90"/>
        <v>3504.8251887805995</v>
      </c>
      <c r="BZ87" s="64">
        <f t="shared" si="90"/>
        <v>3602.5537697282957</v>
      </c>
      <c r="CA87" s="64">
        <f t="shared" si="90"/>
        <v>3692.7170387670089</v>
      </c>
      <c r="CB87" s="64">
        <f t="shared" si="90"/>
        <v>3777.0077643427462</v>
      </c>
      <c r="CC87" s="64">
        <f t="shared" si="90"/>
        <v>3856.7828568032719</v>
      </c>
      <c r="CD87" s="64">
        <f t="shared" si="90"/>
        <v>3933.1305804516292</v>
      </c>
      <c r="CE87" s="64">
        <f t="shared" si="90"/>
        <v>4006.9243237954502</v>
      </c>
      <c r="CF87" s="64">
        <f t="shared" si="90"/>
        <v>4078.865616362019</v>
      </c>
      <c r="CG87" s="64">
        <f t="shared" si="90"/>
        <v>4149.5185427751585</v>
      </c>
      <c r="CH87" s="64">
        <f t="shared" si="90"/>
        <v>4219.3372746509531</v>
      </c>
      <c r="CI87" s="124">
        <f t="shared" si="90"/>
        <v>4288.6880967580519</v>
      </c>
      <c r="CJ87" s="134"/>
    </row>
    <row r="88" spans="1:88" x14ac:dyDescent="0.3">
      <c r="A88" s="33" t="s">
        <v>457</v>
      </c>
      <c r="B88" s="168">
        <v>3.0000000000000001E-3</v>
      </c>
      <c r="C88" s="21" t="s">
        <v>67</v>
      </c>
      <c r="D88" s="102">
        <f>IFERROR(INDEX('I2015'!B$5:B$73,MATCH($C88,'I2015'!$A$5:$A$73,0)),"")</f>
        <v>90</v>
      </c>
      <c r="E88" s="102">
        <f>IFERROR(INDEX('I2015'!C$5:C$73,MATCH($C88,'I2015'!$A$5:$A$73,0)),"")</f>
        <v>45</v>
      </c>
      <c r="F88" s="102">
        <f>IFERROR(INDEX('I2015'!D$5:D$73,MATCH($C88,'I2015'!$A$5:$A$73,0)),"")</f>
        <v>45</v>
      </c>
      <c r="G88" s="102">
        <f>IFERROR(INDEX('I2015'!E$5:E$73,MATCH($C88,'I2015'!$A$5:$A$73,0)),"")</f>
        <v>45</v>
      </c>
      <c r="H88" s="102">
        <f>IFERROR(INDEX('I2015'!F$5:F$73,MATCH($C88,'I2015'!$A$5:$A$73,0)),"")</f>
        <v>45</v>
      </c>
      <c r="I88" s="102">
        <f>IFERROR(INDEX('I2015'!G$5:G$73,MATCH($C88,'I2015'!$A$5:$A$73,0)),"")</f>
        <v>45</v>
      </c>
      <c r="J88" s="102">
        <f>IFERROR(INDEX('I2015'!H$5:H$73,MATCH($C88,'I2015'!$A$5:$A$73,0)),"")</f>
        <v>0</v>
      </c>
      <c r="K88" s="102">
        <f>IFERROR(INDEX('I2015'!I$5:I$73,MATCH($C88,'I2015'!$A$5:$A$73,0)),"")</f>
        <v>113.5</v>
      </c>
      <c r="L88" s="102">
        <f>IFERROR(INDEX('I2015'!J$5:J$73,MATCH($C88,'I2015'!$A$5:$A$73,0)),"")</f>
        <v>176</v>
      </c>
      <c r="M88" s="102">
        <f>IFERROR(INDEX('I2015'!K$5:K$73,MATCH($C88,'I2015'!$A$5:$A$73,0)),"")</f>
        <v>213</v>
      </c>
      <c r="N88" s="102">
        <f>IFERROR(INDEX('I2015'!L$5:L$73,MATCH($C88,'I2015'!$A$5:$A$73,0)),"")</f>
        <v>200</v>
      </c>
      <c r="O88" s="102">
        <f>IFERROR(INDEX('I2015'!M$5:M$73,MATCH($C88,'I2015'!$A$5:$A$73,0)),"")</f>
        <v>0</v>
      </c>
      <c r="P88" s="102">
        <f>IFERROR(INDEX('I2016'!B$5:B$90,MATCH($C88,'I2016'!$A$5:$A$90,0)),"")</f>
        <v>71.040000000000006</v>
      </c>
      <c r="Q88" s="102">
        <f>IFERROR(INDEX('I2016'!C$5:C$90,MATCH($C88,'I2016'!$A$5:$A$90,0)),"")</f>
        <v>323.89</v>
      </c>
      <c r="R88" s="102">
        <f>IFERROR(INDEX('I2016'!D$5:D$90,MATCH($C88,'I2016'!$A$5:$A$90,0)),"")</f>
        <v>972.76</v>
      </c>
      <c r="S88" s="102">
        <f>IFERROR(INDEX('I2016'!E$5:E$90,MATCH($C88,'I2016'!$A$5:$A$90,0)),"")</f>
        <v>45.54</v>
      </c>
      <c r="T88" s="102">
        <f>IFERROR(INDEX('I2016'!F$5:F$90,MATCH($C88,'I2016'!$A$5:$A$90,0)),"")</f>
        <v>56.12</v>
      </c>
      <c r="U88" s="102">
        <f>IFERROR(INDEX('I2016'!G$5:G$90,MATCH($C88,'I2016'!$A$5:$A$90,0)),"")</f>
        <v>683.02</v>
      </c>
      <c r="V88" s="102">
        <f>IFERROR(INDEX('I2016'!H$5:H$90,MATCH($C88,'I2016'!$A$5:$A$90,0)),"")</f>
        <v>362.59</v>
      </c>
      <c r="W88" s="102">
        <f>IFERROR(INDEX('I2016'!I$5:I$90,MATCH($C88,'I2016'!$A$5:$A$90,0)),"")</f>
        <v>357.57</v>
      </c>
      <c r="X88" s="102">
        <f>IFERROR(INDEX('I2016'!J$5:J$90,MATCH($C88,'I2016'!$A$5:$A$90,0)),"")</f>
        <v>427.37</v>
      </c>
      <c r="Y88" s="102">
        <f>IFERROR(INDEX('I2016'!K$5:K$90,MATCH($C88,'I2016'!$A$5:$A$90,0)),"")</f>
        <v>1645.63</v>
      </c>
      <c r="Z88" s="102">
        <f>IFERROR(INDEX('I2016'!L$5:L$90,MATCH($C88,'I2016'!$A$5:$A$90,0)),"")</f>
        <v>369.63</v>
      </c>
      <c r="AA88" s="102">
        <f>IFERROR(INDEX('I2016'!M$5:M$90,MATCH($C88,'I2016'!$A$5:$A$90,0)),"")</f>
        <v>355.75</v>
      </c>
      <c r="AB88" s="102">
        <f>IFERROR(INDEX('I2017'!B$5:B$96,MATCH($C88,'I2017'!$A$5:$A$96,0)),"")</f>
        <v>349.71</v>
      </c>
      <c r="AC88" s="102">
        <f>IFERROR(INDEX('I2017'!C$5:C$96,MATCH($C88,'I2017'!$A$5:$A$96,0)),"")</f>
        <v>770.92</v>
      </c>
      <c r="AD88" s="102">
        <f>IFERROR(INDEX('I2017'!D$5:D$96,MATCH($C88,'I2017'!$A$5:$A$96,0)),"")</f>
        <v>1154.28</v>
      </c>
      <c r="AE88" s="102">
        <f>IFERROR(INDEX('I2017'!E$5:E$96,MATCH($C88,'I2017'!$A$5:$A$96,0)),"")</f>
        <v>414.76</v>
      </c>
      <c r="AF88" s="102">
        <f>IFERROR(INDEX('I2017'!F$5:F$96,MATCH($C88,'I2017'!$A$5:$A$96,0)),"")</f>
        <v>496.19</v>
      </c>
      <c r="AG88" s="102">
        <f>IFERROR(INDEX('I2017'!G$5:G$96,MATCH($C88,'I2017'!$A$5:$A$96,0)),"")</f>
        <v>483.53</v>
      </c>
      <c r="AH88" s="102">
        <f>IFERROR(INDEX('I2017'!H$5:H$96,MATCH($C88,'I2017'!$A$5:$A$96,0)),"")</f>
        <v>490.03</v>
      </c>
      <c r="AI88" s="102">
        <f>IFERROR(INDEX('I2017'!I$5:I$96,MATCH($C88,'I2017'!$A$5:$A$96,0)),"")</f>
        <v>772.62</v>
      </c>
      <c r="AJ88" s="102">
        <f>IFERROR(INDEX('I2017'!J$5:J$96,MATCH($C88,'I2017'!$A$5:$A$96,0)),"")</f>
        <v>644.57000000000005</v>
      </c>
      <c r="AK88" s="102">
        <f>IFERROR(INDEX('I2017'!K$5:K$96,MATCH($C88,'I2017'!$A$5:$A$96,0)),"")</f>
        <v>860.71</v>
      </c>
      <c r="AL88" s="102">
        <f>IFERROR(INDEX('I2017'!L$5:L$96,MATCH($C88,'I2017'!$A$5:$A$96,0)),"")</f>
        <v>357.96</v>
      </c>
      <c r="AM88" s="102">
        <f>IFERROR(INDEX('I2017'!M$5:M$96,MATCH($C88,'I2017'!$A$5:$A$96,0)),"")</f>
        <v>957.12</v>
      </c>
      <c r="AN88" s="102">
        <f>IFERROR(INDEX('I2018'!B$5:B$107,MATCH($C88,'I2018'!$A$5:$A$107,0)),"")</f>
        <v>742.36</v>
      </c>
      <c r="AO88" s="102">
        <f>IFERROR(INDEX('I2018'!C$5:C$107,MATCH($C88,'I2018'!$A$5:$A$107,0)),"")</f>
        <v>822.17</v>
      </c>
      <c r="AP88" s="102">
        <f>IFERROR(INDEX('I2018'!D$5:D$107,MATCH($C88,'I2018'!$A$5:$A$107,0)),"")</f>
        <v>540.73</v>
      </c>
      <c r="AQ88" s="102">
        <f>IFERROR(INDEX('I2018'!E$5:E$107,MATCH($C88,'I2018'!$A$5:$A$107,0)),"")</f>
        <v>626.14</v>
      </c>
      <c r="AR88" s="102">
        <f>IFERROR(INDEX('I2018'!F$5:F$107,MATCH($C88,'I2018'!$A$5:$A$107,0)),"")</f>
        <v>2063.02</v>
      </c>
      <c r="AS88" s="102">
        <f>IFERROR(INDEX('I2018'!G$5:G$107,MATCH($C88,'I2018'!$A$5:$A$107,0)),"")</f>
        <v>2129.38</v>
      </c>
      <c r="AT88" s="102">
        <f>IFERROR(INDEX('I2018'!H$5:H$107,MATCH($C88,'I2018'!$A$5:$A$107,0)),"")</f>
        <v>2763.91</v>
      </c>
      <c r="AU88" s="102">
        <f>IFERROR(INDEX('I2018'!I$5:I$107,MATCH($C88,'I2018'!$A$5:$A$107,0)),"")</f>
        <v>8165</v>
      </c>
      <c r="AV88" s="102">
        <f>IFERROR(INDEX('I2018'!J$5:J$107,MATCH($C88,'I2018'!$A$5:$A$107,0)),"")</f>
        <v>4012.91</v>
      </c>
      <c r="AW88" s="102">
        <f>IFERROR(INDEX('I2018'!K$5:K$107,MATCH($C88,'I2018'!$A$5:$A$107,0)),"")</f>
        <v>3688.49</v>
      </c>
      <c r="AX88" s="102">
        <f>IFERROR(INDEX('I2018'!L$5:L$107,MATCH($C88,'I2018'!$A$5:$A$107,0)),"")</f>
        <v>3548.87</v>
      </c>
      <c r="AY88" s="102">
        <f>IFERROR(INDEX('I2018'!M$5:M$107,MATCH($C88,'I2018'!$A$5:$A$107,0)),"")</f>
        <v>3744.46</v>
      </c>
      <c r="AZ88" s="102">
        <f>IFERROR(INDEX('I2019'!B$5:B$112,MATCH($C88,'I2019'!$A$5:$A$112,0)),"")</f>
        <v>3702.23</v>
      </c>
      <c r="BA88" s="102">
        <f>IFERROR(INDEX('I2019'!C$5:C$112,MATCH($C88,'I2019'!$A$5:$A$112,0)),"")</f>
        <v>3940.18</v>
      </c>
      <c r="BB88" s="102">
        <f>IFERROR(INDEX('I2019'!D$5:D$112,MATCH($C88,'I2019'!$A$5:$A$112,0)),"")</f>
        <v>3766.42</v>
      </c>
      <c r="BC88" s="102">
        <f>IFERROR(INDEX('I2019'!E$5:E$112,MATCH($C88,'I2019'!$A$5:$A$112,0)),"")</f>
        <v>3531.6</v>
      </c>
      <c r="BD88" s="102">
        <f>IFERROR(INDEX('I2019'!F$5:F$112,MATCH($C88,'I2019'!$A$5:$A$112,0)),"")</f>
        <v>3987.41</v>
      </c>
      <c r="BE88" s="102">
        <f>IFERROR(INDEX('I2019'!G$5:G$112,MATCH($C88,'I2019'!$A$5:$A$112,0)),"")</f>
        <v>4132.34</v>
      </c>
      <c r="BF88" s="102">
        <f>IFERROR(INDEX('I2019'!H$5:H$112,MATCH($C88,'I2019'!$A$5:$A$112,0)),"")</f>
        <v>4159.7</v>
      </c>
      <c r="BG88" s="102">
        <f>IFERROR(INDEX('I2019'!I$5:I$112,MATCH($C88,'I2019'!$A$5:$A$112,0)),"")</f>
        <v>4803.58</v>
      </c>
      <c r="BH88" s="102">
        <f>IFERROR(INDEX('I2019'!J$5:J$112,MATCH($C88,'I2019'!$A$5:$A$112,0)),"")</f>
        <v>8713.31</v>
      </c>
      <c r="BI88" s="102">
        <f>IFERROR(INDEX('I2019'!K$5:K$112,MATCH($C88,'I2019'!$A$5:$A$112,0)),"")</f>
        <v>3650.26</v>
      </c>
      <c r="BJ88" s="102">
        <f>IFERROR(INDEX('I2019'!L$5:L$112,MATCH($C88,'I2019'!$A$5:$A$112,0)),"")</f>
        <v>4807.82</v>
      </c>
      <c r="BK88" s="102">
        <f>IFERROR(INDEX('I2019'!M$5:M$112,MATCH($C88,'I2019'!$A$5:$A$112,0)),"")</f>
        <v>4462.8500000000004</v>
      </c>
      <c r="BL88" s="102">
        <f>IFERROR(INDEX('I2020'!B$5:B$113,MATCH($C88,'I2020'!$A$5:$A$113,0)),"")</f>
        <v>4978.68</v>
      </c>
      <c r="BM88" s="102">
        <f>IFERROR(INDEX('I2020'!C$5:C$113,MATCH($C88,'I2020'!$A$5:$A$113,0)),"")</f>
        <v>4022.85</v>
      </c>
      <c r="BN88" s="102">
        <f>IFERROR(INDEX('I2020'!D$5:D$113,MATCH($C88,'I2020'!$A$5:$A$113,0)),"")</f>
        <v>4209.66</v>
      </c>
      <c r="BO88" s="102">
        <f>IFERROR(INDEX('I2020'!E$5:E$113,MATCH($C88,'I2020'!$A$5:$A$113,0)),"")</f>
        <v>3198.98</v>
      </c>
      <c r="BP88" s="102">
        <f>IFERROR(INDEX('I2020'!F$5:F$113,MATCH($C88,'I2020'!$A$5:$A$113,0)),"")</f>
        <v>6171.45</v>
      </c>
      <c r="BQ88" s="392">
        <f>IFERROR(INDEX('I2020'!G$5:G$113,MATCH($C88,'I2020'!$A$5:$A$113,0)),"")</f>
        <v>7543.61</v>
      </c>
      <c r="BR88" s="64">
        <f t="shared" ref="BQ88:CI88" si="91">BQ88*(1+$B88)</f>
        <v>7566.2408299999988</v>
      </c>
      <c r="BS88" s="64">
        <f t="shared" si="91"/>
        <v>7588.9395524899983</v>
      </c>
      <c r="BT88" s="64">
        <f t="shared" si="91"/>
        <v>7611.7063711474675</v>
      </c>
      <c r="BU88" s="64">
        <f t="shared" si="91"/>
        <v>7634.5414902609091</v>
      </c>
      <c r="BV88" s="64">
        <f t="shared" si="91"/>
        <v>7657.4451147316913</v>
      </c>
      <c r="BW88" s="64">
        <f t="shared" si="91"/>
        <v>7680.4174500758854</v>
      </c>
      <c r="BX88" s="64">
        <f t="shared" si="91"/>
        <v>7703.4587024261118</v>
      </c>
      <c r="BY88" s="64">
        <f t="shared" si="91"/>
        <v>7726.5690785333891</v>
      </c>
      <c r="BZ88" s="64">
        <f t="shared" si="91"/>
        <v>7749.7487857689885</v>
      </c>
      <c r="CA88" s="64">
        <f t="shared" si="91"/>
        <v>7772.9980321262947</v>
      </c>
      <c r="CB88" s="64">
        <f t="shared" si="91"/>
        <v>7796.3170262226731</v>
      </c>
      <c r="CC88" s="64">
        <f t="shared" si="91"/>
        <v>7819.7059773013407</v>
      </c>
      <c r="CD88" s="64">
        <f t="shared" si="91"/>
        <v>7843.1650952332438</v>
      </c>
      <c r="CE88" s="64">
        <f t="shared" si="91"/>
        <v>7866.6945905189423</v>
      </c>
      <c r="CF88" s="64">
        <f t="shared" si="91"/>
        <v>7890.2946742904978</v>
      </c>
      <c r="CG88" s="64">
        <f t="shared" si="91"/>
        <v>7913.9655583133681</v>
      </c>
      <c r="CH88" s="64">
        <f t="shared" si="91"/>
        <v>7937.7074549883073</v>
      </c>
      <c r="CI88" s="124">
        <f t="shared" si="91"/>
        <v>7961.5205773532716</v>
      </c>
      <c r="CJ88" s="134"/>
    </row>
    <row r="89" spans="1:88" x14ac:dyDescent="0.3">
      <c r="A89" s="33" t="s">
        <v>456</v>
      </c>
      <c r="B89" s="167">
        <v>2.5000000000000001E-3</v>
      </c>
      <c r="C89" s="21" t="s">
        <v>68</v>
      </c>
      <c r="D89" s="102">
        <f>IFERROR(INDEX('I2015'!B$5:B$73,MATCH($C89,'I2015'!$A$5:$A$73,0)),"")</f>
        <v>348.37</v>
      </c>
      <c r="E89" s="102">
        <f>IFERROR(INDEX('I2015'!C$5:C$73,MATCH($C89,'I2015'!$A$5:$A$73,0)),"")</f>
        <v>203.49</v>
      </c>
      <c r="F89" s="102">
        <f>IFERROR(INDEX('I2015'!D$5:D$73,MATCH($C89,'I2015'!$A$5:$A$73,0)),"")</f>
        <v>0</v>
      </c>
      <c r="G89" s="102">
        <f>IFERROR(INDEX('I2015'!E$5:E$73,MATCH($C89,'I2015'!$A$5:$A$73,0)),"")</f>
        <v>0</v>
      </c>
      <c r="H89" s="102">
        <f>IFERROR(INDEX('I2015'!F$5:F$73,MATCH($C89,'I2015'!$A$5:$A$73,0)),"")</f>
        <v>331.07</v>
      </c>
      <c r="I89" s="102">
        <f>IFERROR(INDEX('I2015'!G$5:G$73,MATCH($C89,'I2015'!$A$5:$A$73,0)),"")</f>
        <v>107.59</v>
      </c>
      <c r="J89" s="102">
        <f>IFERROR(INDEX('I2015'!H$5:H$73,MATCH($C89,'I2015'!$A$5:$A$73,0)),"")</f>
        <v>54</v>
      </c>
      <c r="K89" s="102">
        <f>IFERROR(INDEX('I2015'!I$5:I$73,MATCH($C89,'I2015'!$A$5:$A$73,0)),"")</f>
        <v>0</v>
      </c>
      <c r="L89" s="102">
        <f>IFERROR(INDEX('I2015'!J$5:J$73,MATCH($C89,'I2015'!$A$5:$A$73,0)),"")</f>
        <v>517.29999999999995</v>
      </c>
      <c r="M89" s="102">
        <f>IFERROR(INDEX('I2015'!K$5:K$73,MATCH($C89,'I2015'!$A$5:$A$73,0)),"")</f>
        <v>10.8</v>
      </c>
      <c r="N89" s="102">
        <f>IFERROR(INDEX('I2015'!L$5:L$73,MATCH($C89,'I2015'!$A$5:$A$73,0)),"")</f>
        <v>0</v>
      </c>
      <c r="O89" s="102">
        <f>IFERROR(INDEX('I2015'!M$5:M$73,MATCH($C89,'I2015'!$A$5:$A$73,0)),"")</f>
        <v>13.05</v>
      </c>
      <c r="P89" s="102">
        <f>IFERROR(INDEX('I2016'!B$5:B$90,MATCH($C89,'I2016'!$A$5:$A$90,0)),"")</f>
        <v>102.72</v>
      </c>
      <c r="Q89" s="102">
        <f>IFERROR(INDEX('I2016'!C$5:C$90,MATCH($C89,'I2016'!$A$5:$A$90,0)),"")</f>
        <v>104.05</v>
      </c>
      <c r="R89" s="102">
        <f>IFERROR(INDEX('I2016'!D$5:D$90,MATCH($C89,'I2016'!$A$5:$A$90,0)),"")</f>
        <v>377.6</v>
      </c>
      <c r="S89" s="102">
        <f>IFERROR(INDEX('I2016'!E$5:E$90,MATCH($C89,'I2016'!$A$5:$A$90,0)),"")</f>
        <v>465.67</v>
      </c>
      <c r="T89" s="102">
        <f>IFERROR(INDEX('I2016'!F$5:F$90,MATCH($C89,'I2016'!$A$5:$A$90,0)),"")</f>
        <v>0</v>
      </c>
      <c r="U89" s="102">
        <f>IFERROR(INDEX('I2016'!G$5:G$90,MATCH($C89,'I2016'!$A$5:$A$90,0)),"")</f>
        <v>0</v>
      </c>
      <c r="V89" s="102">
        <f>IFERROR(INDEX('I2016'!H$5:H$90,MATCH($C89,'I2016'!$A$5:$A$90,0)),"")</f>
        <v>39.97</v>
      </c>
      <c r="W89" s="102">
        <f>IFERROR(INDEX('I2016'!I$5:I$90,MATCH($C89,'I2016'!$A$5:$A$90,0)),"")</f>
        <v>204.54</v>
      </c>
      <c r="X89" s="102">
        <f>IFERROR(INDEX('I2016'!J$5:J$90,MATCH($C89,'I2016'!$A$5:$A$90,0)),"")</f>
        <v>262.11</v>
      </c>
      <c r="Y89" s="102">
        <f>IFERROR(INDEX('I2016'!K$5:K$90,MATCH($C89,'I2016'!$A$5:$A$90,0)),"")</f>
        <v>465.39</v>
      </c>
      <c r="Z89" s="102">
        <f>IFERROR(INDEX('I2016'!L$5:L$90,MATCH($C89,'I2016'!$A$5:$A$90,0)),"")</f>
        <v>1295.1400000000001</v>
      </c>
      <c r="AA89" s="102">
        <f>IFERROR(INDEX('I2016'!M$5:M$90,MATCH($C89,'I2016'!$A$5:$A$90,0)),"")</f>
        <v>1555.62</v>
      </c>
      <c r="AB89" s="102">
        <f>IFERROR(INDEX('I2017'!B$5:B$96,MATCH($C89,'I2017'!$A$5:$A$96,0)),"")</f>
        <v>2303.73</v>
      </c>
      <c r="AC89" s="102">
        <f>IFERROR(INDEX('I2017'!C$5:C$96,MATCH($C89,'I2017'!$A$5:$A$96,0)),"")</f>
        <v>2420.66</v>
      </c>
      <c r="AD89" s="102">
        <f>IFERROR(INDEX('I2017'!D$5:D$96,MATCH($C89,'I2017'!$A$5:$A$96,0)),"")</f>
        <v>2041.63</v>
      </c>
      <c r="AE89" s="102">
        <f>IFERROR(INDEX('I2017'!E$5:E$96,MATCH($C89,'I2017'!$A$5:$A$96,0)),"")</f>
        <v>2594.64</v>
      </c>
      <c r="AF89" s="102">
        <f>IFERROR(INDEX('I2017'!F$5:F$96,MATCH($C89,'I2017'!$A$5:$A$96,0)),"")</f>
        <v>1632.46</v>
      </c>
      <c r="AG89" s="102">
        <f>IFERROR(INDEX('I2017'!G$5:G$96,MATCH($C89,'I2017'!$A$5:$A$96,0)),"")</f>
        <v>1341.1</v>
      </c>
      <c r="AH89" s="102">
        <f>IFERROR(INDEX('I2017'!H$5:H$96,MATCH($C89,'I2017'!$A$5:$A$96,0)),"")</f>
        <v>1593.68</v>
      </c>
      <c r="AI89" s="102">
        <f>IFERROR(INDEX('I2017'!I$5:I$96,MATCH($C89,'I2017'!$A$5:$A$96,0)),"")</f>
        <v>2980.53</v>
      </c>
      <c r="AJ89" s="102">
        <f>IFERROR(INDEX('I2017'!J$5:J$96,MATCH($C89,'I2017'!$A$5:$A$96,0)),"")</f>
        <v>2656.83</v>
      </c>
      <c r="AK89" s="102">
        <f>IFERROR(INDEX('I2017'!K$5:K$96,MATCH($C89,'I2017'!$A$5:$A$96,0)),"")</f>
        <v>2045.04</v>
      </c>
      <c r="AL89" s="102">
        <f>IFERROR(INDEX('I2017'!L$5:L$96,MATCH($C89,'I2017'!$A$5:$A$96,0)),"")</f>
        <v>2693.53</v>
      </c>
      <c r="AM89" s="102">
        <f>IFERROR(INDEX('I2017'!M$5:M$96,MATCH($C89,'I2017'!$A$5:$A$96,0)),"")</f>
        <v>1520.41</v>
      </c>
      <c r="AN89" s="102">
        <f>IFERROR(INDEX('I2018'!B$5:B$107,MATCH($C89,'I2018'!$A$5:$A$107,0)),"")</f>
        <v>2228.6999999999998</v>
      </c>
      <c r="AO89" s="102">
        <f>IFERROR(INDEX('I2018'!C$5:C$107,MATCH($C89,'I2018'!$A$5:$A$107,0)),"")</f>
        <v>2954.21</v>
      </c>
      <c r="AP89" s="102">
        <f>IFERROR(INDEX('I2018'!D$5:D$107,MATCH($C89,'I2018'!$A$5:$A$107,0)),"")</f>
        <v>13688.05</v>
      </c>
      <c r="AQ89" s="102">
        <f>IFERROR(INDEX('I2018'!E$5:E$107,MATCH($C89,'I2018'!$A$5:$A$107,0)),"")</f>
        <v>7336.34</v>
      </c>
      <c r="AR89" s="102">
        <f>IFERROR(INDEX('I2018'!F$5:F$107,MATCH($C89,'I2018'!$A$5:$A$107,0)),"")</f>
        <v>10235.23</v>
      </c>
      <c r="AS89" s="102">
        <f>IFERROR(INDEX('I2018'!G$5:G$107,MATCH($C89,'I2018'!$A$5:$A$107,0)),"")</f>
        <v>13907.14</v>
      </c>
      <c r="AT89" s="102">
        <f>IFERROR(INDEX('I2018'!H$5:H$107,MATCH($C89,'I2018'!$A$5:$A$107,0)),"")</f>
        <v>25135.64</v>
      </c>
      <c r="AU89" s="102">
        <f>IFERROR(INDEX('I2018'!I$5:I$107,MATCH($C89,'I2018'!$A$5:$A$107,0)),"")</f>
        <v>37818.230000000003</v>
      </c>
      <c r="AV89" s="102">
        <f>IFERROR(INDEX('I2018'!J$5:J$107,MATCH($C89,'I2018'!$A$5:$A$107,0)),"")</f>
        <v>18570.63</v>
      </c>
      <c r="AW89" s="102">
        <f>IFERROR(INDEX('I2018'!K$5:K$107,MATCH($C89,'I2018'!$A$5:$A$107,0)),"")</f>
        <v>11354.92</v>
      </c>
      <c r="AX89" s="102">
        <f>IFERROR(INDEX('I2018'!L$5:L$107,MATCH($C89,'I2018'!$A$5:$A$107,0)),"")</f>
        <v>3114.23</v>
      </c>
      <c r="AY89" s="102">
        <f>IFERROR(INDEX('I2018'!M$5:M$107,MATCH($C89,'I2018'!$A$5:$A$107,0)),"")</f>
        <v>4155.17</v>
      </c>
      <c r="AZ89" s="102">
        <f>IFERROR(INDEX('I2019'!B$5:B$112,MATCH($C89,'I2019'!$A$5:$A$112,0)),"")</f>
        <v>5778.36</v>
      </c>
      <c r="BA89" s="102">
        <f>IFERROR(INDEX('I2019'!C$5:C$112,MATCH($C89,'I2019'!$A$5:$A$112,0)),"")</f>
        <v>5834.77</v>
      </c>
      <c r="BB89" s="102">
        <f>IFERROR(INDEX('I2019'!D$5:D$112,MATCH($C89,'I2019'!$A$5:$A$112,0)),"")</f>
        <v>6045.34</v>
      </c>
      <c r="BC89" s="102">
        <f>IFERROR(INDEX('I2019'!E$5:E$112,MATCH($C89,'I2019'!$A$5:$A$112,0)),"")</f>
        <v>11394.86</v>
      </c>
      <c r="BD89" s="102">
        <f>IFERROR(INDEX('I2019'!F$5:F$112,MATCH($C89,'I2019'!$A$5:$A$112,0)),"")</f>
        <v>3359.91</v>
      </c>
      <c r="BE89" s="102">
        <f>IFERROR(INDEX('I2019'!G$5:G$112,MATCH($C89,'I2019'!$A$5:$A$112,0)),"")</f>
        <v>2815.36</v>
      </c>
      <c r="BF89" s="102">
        <f>IFERROR(INDEX('I2019'!H$5:H$112,MATCH($C89,'I2019'!$A$5:$A$112,0)),"")</f>
        <v>10689.04</v>
      </c>
      <c r="BG89" s="102">
        <f>IFERROR(INDEX('I2019'!I$5:I$112,MATCH($C89,'I2019'!$A$5:$A$112,0)),"")</f>
        <v>3704.03</v>
      </c>
      <c r="BH89" s="102">
        <f>IFERROR(INDEX('I2019'!J$5:J$112,MATCH($C89,'I2019'!$A$5:$A$112,0)),"")</f>
        <v>4788.71</v>
      </c>
      <c r="BI89" s="102">
        <f>IFERROR(INDEX('I2019'!K$5:K$112,MATCH($C89,'I2019'!$A$5:$A$112,0)),"")</f>
        <v>5781.88</v>
      </c>
      <c r="BJ89" s="102">
        <f>IFERROR(INDEX('I2019'!L$5:L$112,MATCH($C89,'I2019'!$A$5:$A$112,0)),"")</f>
        <v>2357.42</v>
      </c>
      <c r="BK89" s="102">
        <f>IFERROR(INDEX('I2019'!M$5:M$112,MATCH($C89,'I2019'!$A$5:$A$112,0)),"")</f>
        <v>2988.6</v>
      </c>
      <c r="BL89" s="102">
        <f>IFERROR(INDEX('I2020'!B$5:B$113,MATCH($C89,'I2020'!$A$5:$A$113,0)),"")</f>
        <v>3569.45</v>
      </c>
      <c r="BM89" s="102">
        <f>IFERROR(INDEX('I2020'!C$5:C$113,MATCH($C89,'I2020'!$A$5:$A$113,0)),"")</f>
        <v>5721</v>
      </c>
      <c r="BN89" s="102">
        <f>IFERROR(INDEX('I2020'!D$5:D$113,MATCH($C89,'I2020'!$A$5:$A$113,0)),"")</f>
        <v>10118.08</v>
      </c>
      <c r="BO89" s="102">
        <f>IFERROR(INDEX('I2020'!E$5:E$113,MATCH($C89,'I2020'!$A$5:$A$113,0)),"")</f>
        <v>6434.29</v>
      </c>
      <c r="BP89" s="102">
        <f>IFERROR(INDEX('I2020'!F$5:F$113,MATCH($C89,'I2020'!$A$5:$A$113,0)),"")</f>
        <v>5753.44</v>
      </c>
      <c r="BQ89" s="392">
        <f>IFERROR(INDEX('I2020'!G$5:G$113,MATCH($C89,'I2020'!$A$5:$A$113,0)),"")</f>
        <v>58326.1</v>
      </c>
      <c r="BR89" s="64">
        <f t="shared" ref="BQ89:CI89" si="92">$B89*BR$31</f>
        <v>7066.4764774208015</v>
      </c>
      <c r="BS89" s="64">
        <f t="shared" si="92"/>
        <v>7165.6925080026895</v>
      </c>
      <c r="BT89" s="64">
        <f t="shared" si="92"/>
        <v>7335.8160120321636</v>
      </c>
      <c r="BU89" s="64">
        <f t="shared" si="92"/>
        <v>7568.1105355935433</v>
      </c>
      <c r="BV89" s="64">
        <f t="shared" si="92"/>
        <v>7855.9136180007154</v>
      </c>
      <c r="BW89" s="64">
        <f t="shared" si="92"/>
        <v>8194.2415952980045</v>
      </c>
      <c r="BX89" s="64">
        <f t="shared" si="92"/>
        <v>8493.5466376493005</v>
      </c>
      <c r="BY89" s="64">
        <f t="shared" si="92"/>
        <v>8762.0629719514982</v>
      </c>
      <c r="BZ89" s="64">
        <f t="shared" si="92"/>
        <v>9006.3844243207386</v>
      </c>
      <c r="CA89" s="64">
        <f t="shared" si="92"/>
        <v>9231.792596917523</v>
      </c>
      <c r="CB89" s="64">
        <f t="shared" si="92"/>
        <v>9442.5194108568667</v>
      </c>
      <c r="CC89" s="64">
        <f t="shared" si="92"/>
        <v>9641.9571420081793</v>
      </c>
      <c r="CD89" s="64">
        <f t="shared" si="92"/>
        <v>9832.8264511290727</v>
      </c>
      <c r="CE89" s="64">
        <f t="shared" si="92"/>
        <v>10017.310809488625</v>
      </c>
      <c r="CF89" s="64">
        <f t="shared" si="92"/>
        <v>10197.164040905047</v>
      </c>
      <c r="CG89" s="64">
        <f t="shared" si="92"/>
        <v>10373.796356937895</v>
      </c>
      <c r="CH89" s="64">
        <f t="shared" si="92"/>
        <v>10548.343186627382</v>
      </c>
      <c r="CI89" s="124">
        <f t="shared" si="92"/>
        <v>10721.720241895129</v>
      </c>
      <c r="CJ89" s="134"/>
    </row>
    <row r="90" spans="1:88" x14ac:dyDescent="0.3">
      <c r="A90" s="33"/>
      <c r="B90" s="68"/>
      <c r="C90" s="21" t="s">
        <v>181</v>
      </c>
      <c r="D90" s="22">
        <f>IFERROR(INDEX('I2015'!B$5:B$73,MATCH($C90,'I2015'!$A$5:$A$73,0)),"")</f>
        <v>0</v>
      </c>
      <c r="E90" s="22">
        <f>IFERROR(INDEX('I2015'!C$5:C$73,MATCH($C90,'I2015'!$A$5:$A$73,0)),"")</f>
        <v>0</v>
      </c>
      <c r="F90" s="22">
        <f>IFERROR(INDEX('I2015'!D$5:D$73,MATCH($C90,'I2015'!$A$5:$A$73,0)),"")</f>
        <v>0</v>
      </c>
      <c r="G90" s="22">
        <f>IFERROR(INDEX('I2015'!E$5:E$73,MATCH($C90,'I2015'!$A$5:$A$73,0)),"")</f>
        <v>0</v>
      </c>
      <c r="H90" s="22">
        <f>IFERROR(INDEX('I2015'!F$5:F$73,MATCH($C90,'I2015'!$A$5:$A$73,0)),"")</f>
        <v>60.62</v>
      </c>
      <c r="I90" s="22">
        <f>IFERROR(INDEX('I2015'!G$5:G$73,MATCH($C90,'I2015'!$A$5:$A$73,0)),"")</f>
        <v>21.53</v>
      </c>
      <c r="J90" s="22">
        <f>IFERROR(INDEX('I2015'!H$5:H$73,MATCH($C90,'I2015'!$A$5:$A$73,0)),"")</f>
        <v>21.51</v>
      </c>
      <c r="K90" s="22">
        <f>IFERROR(INDEX('I2015'!I$5:I$73,MATCH($C90,'I2015'!$A$5:$A$73,0)),"")</f>
        <v>210.78</v>
      </c>
      <c r="L90" s="22">
        <f>IFERROR(INDEX('I2015'!J$5:J$73,MATCH($C90,'I2015'!$A$5:$A$73,0)),"")</f>
        <v>25.62</v>
      </c>
      <c r="M90" s="22">
        <f>IFERROR(INDEX('I2015'!K$5:K$73,MATCH($C90,'I2015'!$A$5:$A$73,0)),"")</f>
        <v>25.59</v>
      </c>
      <c r="N90" s="22">
        <f>IFERROR(INDEX('I2015'!L$5:L$73,MATCH($C90,'I2015'!$A$5:$A$73,0)),"")</f>
        <v>36.130000000000003</v>
      </c>
      <c r="O90" s="22">
        <f>IFERROR(INDEX('I2015'!M$5:M$73,MATCH($C90,'I2015'!$A$5:$A$73,0)),"")</f>
        <v>210.99</v>
      </c>
      <c r="P90" s="22" t="str">
        <f>IFERROR(INDEX('I2016'!B$5:B$90,MATCH($C90,'I2016'!$A$5:$A$90,0)),"")</f>
        <v/>
      </c>
      <c r="Q90" s="22" t="str">
        <f>IFERROR(INDEX('I2016'!C$5:C$90,MATCH($C90,'I2016'!$A$5:$A$90,0)),"")</f>
        <v/>
      </c>
      <c r="R90" s="22" t="str">
        <f>IFERROR(INDEX('I2016'!D$5:D$90,MATCH($C90,'I2016'!$A$5:$A$90,0)),"")</f>
        <v/>
      </c>
      <c r="S90" s="22" t="str">
        <f>IFERROR(INDEX('I2016'!E$5:E$90,MATCH($C90,'I2016'!$A$5:$A$90,0)),"")</f>
        <v/>
      </c>
      <c r="T90" s="22" t="str">
        <f>IFERROR(INDEX('I2016'!F$5:F$90,MATCH($C90,'I2016'!$A$5:$A$90,0)),"")</f>
        <v/>
      </c>
      <c r="U90" s="22" t="str">
        <f>IFERROR(INDEX('I2016'!G$5:G$90,MATCH($C90,'I2016'!$A$5:$A$90,0)),"")</f>
        <v/>
      </c>
      <c r="V90" s="22" t="str">
        <f>IFERROR(INDEX('I2016'!H$5:H$90,MATCH($C90,'I2016'!$A$5:$A$90,0)),"")</f>
        <v/>
      </c>
      <c r="W90" s="22" t="str">
        <f>IFERROR(INDEX('I2016'!I$5:I$90,MATCH($C90,'I2016'!$A$5:$A$90,0)),"")</f>
        <v/>
      </c>
      <c r="X90" s="22" t="str">
        <f>IFERROR(INDEX('I2016'!J$5:J$90,MATCH($C90,'I2016'!$A$5:$A$90,0)),"")</f>
        <v/>
      </c>
      <c r="Y90" s="22" t="str">
        <f>IFERROR(INDEX('I2016'!K$5:K$90,MATCH($C90,'I2016'!$A$5:$A$90,0)),"")</f>
        <v/>
      </c>
      <c r="Z90" s="22" t="str">
        <f>IFERROR(INDEX('I2016'!L$5:L$90,MATCH($C90,'I2016'!$A$5:$A$90,0)),"")</f>
        <v/>
      </c>
      <c r="AA90" s="22" t="str">
        <f>IFERROR(INDEX('I2016'!M$5:M$90,MATCH($C90,'I2016'!$A$5:$A$90,0)),"")</f>
        <v/>
      </c>
      <c r="AB90" s="22" t="str">
        <f>IFERROR(INDEX('I2017'!B$5:B$96,MATCH($C90,'I2017'!$A$5:$A$96,0)),"")</f>
        <v/>
      </c>
      <c r="AC90" s="22" t="str">
        <f>IFERROR(INDEX('I2017'!C$5:C$96,MATCH($C90,'I2017'!$A$5:$A$96,0)),"")</f>
        <v/>
      </c>
      <c r="AD90" s="22" t="str">
        <f>IFERROR(INDEX('I2017'!D$5:D$96,MATCH($C90,'I2017'!$A$5:$A$96,0)),"")</f>
        <v/>
      </c>
      <c r="AE90" s="22" t="str">
        <f>IFERROR(INDEX('I2017'!E$5:E$96,MATCH($C90,'I2017'!$A$5:$A$96,0)),"")</f>
        <v/>
      </c>
      <c r="AF90" s="22" t="str">
        <f>IFERROR(INDEX('I2017'!F$5:F$96,MATCH($C90,'I2017'!$A$5:$A$96,0)),"")</f>
        <v/>
      </c>
      <c r="AG90" s="22" t="str">
        <f>IFERROR(INDEX('I2017'!G$5:G$96,MATCH($C90,'I2017'!$A$5:$A$96,0)),"")</f>
        <v/>
      </c>
      <c r="AH90" s="22" t="str">
        <f>IFERROR(INDEX('I2017'!H$5:H$96,MATCH($C90,'I2017'!$A$5:$A$96,0)),"")</f>
        <v/>
      </c>
      <c r="AI90" s="22" t="str">
        <f>IFERROR(INDEX('I2017'!I$5:I$96,MATCH($C90,'I2017'!$A$5:$A$96,0)),"")</f>
        <v/>
      </c>
      <c r="AJ90" s="22" t="str">
        <f>IFERROR(INDEX('I2017'!J$5:J$96,MATCH($C90,'I2017'!$A$5:$A$96,0)),"")</f>
        <v/>
      </c>
      <c r="AK90" s="22" t="str">
        <f>IFERROR(INDEX('I2017'!K$5:K$96,MATCH($C90,'I2017'!$A$5:$A$96,0)),"")</f>
        <v/>
      </c>
      <c r="AL90" s="22" t="str">
        <f>IFERROR(INDEX('I2017'!L$5:L$96,MATCH($C90,'I2017'!$A$5:$A$96,0)),"")</f>
        <v/>
      </c>
      <c r="AM90" s="22" t="str">
        <f>IFERROR(INDEX('I2017'!M$5:M$96,MATCH($C90,'I2017'!$A$5:$A$96,0)),"")</f>
        <v/>
      </c>
      <c r="AN90" s="22" t="str">
        <f>IFERROR(INDEX('I2018'!B$5:B$107,MATCH($C90,'I2018'!$A$5:$A$107,0)),"")</f>
        <v/>
      </c>
      <c r="AO90" s="22" t="str">
        <f>IFERROR(INDEX('I2018'!C$5:C$107,MATCH($C90,'I2018'!$A$5:$A$107,0)),"")</f>
        <v/>
      </c>
      <c r="AP90" s="22" t="str">
        <f>IFERROR(INDEX('I2018'!D$5:D$107,MATCH($C90,'I2018'!$A$5:$A$107,0)),"")</f>
        <v/>
      </c>
      <c r="AQ90" s="22" t="str">
        <f>IFERROR(INDEX('I2018'!E$5:E$107,MATCH($C90,'I2018'!$A$5:$A$107,0)),"")</f>
        <v/>
      </c>
      <c r="AR90" s="22" t="str">
        <f>IFERROR(INDEX('I2018'!F$5:F$107,MATCH($C90,'I2018'!$A$5:$A$107,0)),"")</f>
        <v/>
      </c>
      <c r="AS90" s="22" t="str">
        <f>IFERROR(INDEX('I2018'!G$5:G$107,MATCH($C90,'I2018'!$A$5:$A$107,0)),"")</f>
        <v/>
      </c>
      <c r="AT90" s="22" t="str">
        <f>IFERROR(INDEX('I2018'!H$5:H$107,MATCH($C90,'I2018'!$A$5:$A$107,0)),"")</f>
        <v/>
      </c>
      <c r="AU90" s="22" t="str">
        <f>IFERROR(INDEX('I2018'!I$5:I$107,MATCH($C90,'I2018'!$A$5:$A$107,0)),"")</f>
        <v/>
      </c>
      <c r="AV90" s="22" t="str">
        <f>IFERROR(INDEX('I2018'!J$5:J$107,MATCH($C90,'I2018'!$A$5:$A$107,0)),"")</f>
        <v/>
      </c>
      <c r="AW90" s="22" t="str">
        <f>IFERROR(INDEX('I2018'!K$5:K$107,MATCH($C90,'I2018'!$A$5:$A$107,0)),"")</f>
        <v/>
      </c>
      <c r="AX90" s="22" t="str">
        <f>IFERROR(INDEX('I2018'!L$5:L$107,MATCH($C90,'I2018'!$A$5:$A$107,0)),"")</f>
        <v/>
      </c>
      <c r="AY90" s="22" t="str">
        <f>IFERROR(INDEX('I2018'!M$5:M$107,MATCH($C90,'I2018'!$A$5:$A$107,0)),"")</f>
        <v/>
      </c>
      <c r="AZ90" s="22" t="str">
        <f>IFERROR(INDEX('I2019'!B$5:B$112,MATCH($C90,'I2019'!$A$5:$A$112,0)),"")</f>
        <v/>
      </c>
      <c r="BA90" s="22" t="str">
        <f>IFERROR(INDEX('I2019'!C$5:C$112,MATCH($C90,'I2019'!$A$5:$A$112,0)),"")</f>
        <v/>
      </c>
      <c r="BB90" s="22" t="str">
        <f>IFERROR(INDEX('I2019'!D$5:D$112,MATCH($C90,'I2019'!$A$5:$A$112,0)),"")</f>
        <v/>
      </c>
      <c r="BC90" s="22" t="str">
        <f>IFERROR(INDEX('I2019'!E$5:E$112,MATCH($C90,'I2019'!$A$5:$A$112,0)),"")</f>
        <v/>
      </c>
      <c r="BD90" s="22" t="str">
        <f>IFERROR(INDEX('I2019'!F$5:F$112,MATCH($C90,'I2019'!$A$5:$A$112,0)),"")</f>
        <v/>
      </c>
      <c r="BE90" s="22" t="str">
        <f>IFERROR(INDEX('I2019'!G$5:G$112,MATCH($C90,'I2019'!$A$5:$A$112,0)),"")</f>
        <v/>
      </c>
      <c r="BF90" s="22" t="str">
        <f>IFERROR(INDEX('I2019'!H$5:H$112,MATCH($C90,'I2019'!$A$5:$A$112,0)),"")</f>
        <v/>
      </c>
      <c r="BG90" s="22" t="str">
        <f>IFERROR(INDEX('I2019'!I$5:I$112,MATCH($C90,'I2019'!$A$5:$A$112,0)),"")</f>
        <v/>
      </c>
      <c r="BH90" s="22" t="str">
        <f>IFERROR(INDEX('I2019'!J$5:J$112,MATCH($C90,'I2019'!$A$5:$A$112,0)),"")</f>
        <v/>
      </c>
      <c r="BI90" s="22" t="str">
        <f>IFERROR(INDEX('I2019'!K$5:K$112,MATCH($C90,'I2019'!$A$5:$A$112,0)),"")</f>
        <v/>
      </c>
      <c r="BJ90" s="22" t="str">
        <f>IFERROR(INDEX('I2019'!L$5:L$112,MATCH($C90,'I2019'!$A$5:$A$112,0)),"")</f>
        <v/>
      </c>
      <c r="BK90" s="22" t="str">
        <f>IFERROR(INDEX('I2019'!M$5:M$112,MATCH($C90,'I2019'!$A$5:$A$112,0)),"")</f>
        <v/>
      </c>
      <c r="BL90" s="22" t="str">
        <f>IFERROR(INDEX('I2020'!B$5:B$113,MATCH($C90,'I2020'!$A$5:$A$113,0)),"")</f>
        <v/>
      </c>
      <c r="BM90" s="22" t="str">
        <f>IFERROR(INDEX('I2020'!C$5:C$113,MATCH($C90,'I2020'!$A$5:$A$113,0)),"")</f>
        <v/>
      </c>
      <c r="BN90" s="22" t="str">
        <f>IFERROR(INDEX('I2020'!D$5:D$113,MATCH($C90,'I2020'!$A$5:$A$113,0)),"")</f>
        <v/>
      </c>
      <c r="BO90" s="22" t="str">
        <f>IFERROR(INDEX('I2020'!E$5:E$113,MATCH($C90,'I2020'!$A$5:$A$113,0)),"")</f>
        <v/>
      </c>
      <c r="BP90" s="22" t="str">
        <f>IFERROR(INDEX('I2020'!F$5:F$113,MATCH($C90,'I2020'!$A$5:$A$113,0)),"")</f>
        <v/>
      </c>
      <c r="BQ90" s="393" t="str">
        <f>IFERROR(INDEX('I2020'!G$5:G$113,MATCH($C90,'I2020'!$A$5:$A$113,0)),"")</f>
        <v/>
      </c>
      <c r="BR90" s="65"/>
      <c r="BS90" s="65"/>
      <c r="BT90" s="65"/>
      <c r="BU90" s="65"/>
      <c r="BV90" s="65"/>
      <c r="BW90" s="65"/>
      <c r="BX90" s="65"/>
      <c r="BY90" s="65"/>
      <c r="BZ90" s="65"/>
      <c r="CA90" s="65"/>
      <c r="CB90" s="65"/>
      <c r="CC90" s="65"/>
      <c r="CD90" s="65"/>
      <c r="CE90" s="65"/>
      <c r="CF90" s="65"/>
      <c r="CG90" s="65"/>
      <c r="CH90" s="65"/>
      <c r="CI90" s="125"/>
      <c r="CJ90" s="269"/>
    </row>
    <row r="91" spans="1:88" x14ac:dyDescent="0.3">
      <c r="A91" s="33"/>
      <c r="B91" s="169"/>
      <c r="C91" s="26" t="s">
        <v>69</v>
      </c>
      <c r="D91" s="78">
        <f>IFERROR(INDEX('I2015'!B$5:B$73,MATCH($C91,'I2015'!$A$5:$A$73,0)),"")</f>
        <v>2748.2299999999996</v>
      </c>
      <c r="E91" s="78">
        <f>IFERROR(INDEX('I2015'!C$5:C$73,MATCH($C91,'I2015'!$A$5:$A$73,0)),"")</f>
        <v>2960.74</v>
      </c>
      <c r="F91" s="78">
        <f>IFERROR(INDEX('I2015'!D$5:D$73,MATCH($C91,'I2015'!$A$5:$A$73,0)),"")</f>
        <v>4562.79</v>
      </c>
      <c r="G91" s="78">
        <f>IFERROR(INDEX('I2015'!E$5:E$73,MATCH($C91,'I2015'!$A$5:$A$73,0)),"")</f>
        <v>4158.55</v>
      </c>
      <c r="H91" s="78">
        <f>IFERROR(INDEX('I2015'!F$5:F$73,MATCH($C91,'I2015'!$A$5:$A$73,0)),"")</f>
        <v>4290.8399999999992</v>
      </c>
      <c r="I91" s="78">
        <f>IFERROR(INDEX('I2015'!G$5:G$73,MATCH($C91,'I2015'!$A$5:$A$73,0)),"")</f>
        <v>4293.84</v>
      </c>
      <c r="J91" s="78">
        <f>IFERROR(INDEX('I2015'!H$5:H$73,MATCH($C91,'I2015'!$A$5:$A$73,0)),"")</f>
        <v>3158.9100000000003</v>
      </c>
      <c r="K91" s="78">
        <f>IFERROR(INDEX('I2015'!I$5:I$73,MATCH($C91,'I2015'!$A$5:$A$73,0)),"")</f>
        <v>4958.0199999999995</v>
      </c>
      <c r="L91" s="78">
        <f>IFERROR(INDEX('I2015'!J$5:J$73,MATCH($C91,'I2015'!$A$5:$A$73,0)),"")</f>
        <v>2062.06</v>
      </c>
      <c r="M91" s="78">
        <f>IFERROR(INDEX('I2015'!K$5:K$73,MATCH($C91,'I2015'!$A$5:$A$73,0)),"")</f>
        <v>4191.18</v>
      </c>
      <c r="N91" s="78">
        <f>IFERROR(INDEX('I2015'!L$5:L$73,MATCH($C91,'I2015'!$A$5:$A$73,0)),"")</f>
        <v>3485.8100000000004</v>
      </c>
      <c r="O91" s="78">
        <f>IFERROR(INDEX('I2015'!M$5:M$73,MATCH($C91,'I2015'!$A$5:$A$73,0)),"")</f>
        <v>4701.1200000000008</v>
      </c>
      <c r="P91" s="78">
        <f>IFERROR(INDEX('I2016'!B$5:B$90,MATCH($C91,'I2016'!$A$5:$A$90,0)),"")</f>
        <v>5490.5</v>
      </c>
      <c r="Q91" s="78">
        <f>IFERROR(INDEX('I2016'!C$5:C$90,MATCH($C91,'I2016'!$A$5:$A$90,0)),"")</f>
        <v>7493.0900000000011</v>
      </c>
      <c r="R91" s="78">
        <f>IFERROR(INDEX('I2016'!D$5:D$90,MATCH($C91,'I2016'!$A$5:$A$90,0)),"")</f>
        <v>6209.68</v>
      </c>
      <c r="S91" s="78">
        <f>IFERROR(INDEX('I2016'!E$5:E$90,MATCH($C91,'I2016'!$A$5:$A$90,0)),"")</f>
        <v>7294.9299999999994</v>
      </c>
      <c r="T91" s="78">
        <f>IFERROR(INDEX('I2016'!F$5:F$90,MATCH($C91,'I2016'!$A$5:$A$90,0)),"")</f>
        <v>5820.11</v>
      </c>
      <c r="U91" s="78">
        <f>IFERROR(INDEX('I2016'!G$5:G$90,MATCH($C91,'I2016'!$A$5:$A$90,0)),"")</f>
        <v>6003.7900000000009</v>
      </c>
      <c r="V91" s="78">
        <f>IFERROR(INDEX('I2016'!H$5:H$90,MATCH($C91,'I2016'!$A$5:$A$90,0)),"")</f>
        <v>9036.909999999998</v>
      </c>
      <c r="W91" s="78">
        <f>IFERROR(INDEX('I2016'!I$5:I$90,MATCH($C91,'I2016'!$A$5:$A$90,0)),"")</f>
        <v>5147.82</v>
      </c>
      <c r="X91" s="78">
        <f>IFERROR(INDEX('I2016'!J$5:J$90,MATCH($C91,'I2016'!$A$5:$A$90,0)),"")</f>
        <v>9673.090000000002</v>
      </c>
      <c r="Y91" s="78">
        <f>IFERROR(INDEX('I2016'!K$5:K$90,MATCH($C91,'I2016'!$A$5:$A$90,0)),"")</f>
        <v>7420.14</v>
      </c>
      <c r="Z91" s="78">
        <f>IFERROR(INDEX('I2016'!L$5:L$90,MATCH($C91,'I2016'!$A$5:$A$90,0)),"")</f>
        <v>7715.39</v>
      </c>
      <c r="AA91" s="78">
        <f>IFERROR(INDEX('I2016'!M$5:M$90,MATCH($C91,'I2016'!$A$5:$A$90,0)),"")</f>
        <v>6510.7000000000007</v>
      </c>
      <c r="AB91" s="78">
        <f>IFERROR(INDEX('I2017'!B$5:B$96,MATCH($C91,'I2017'!$A$5:$A$96,0)),"")</f>
        <v>5451.08</v>
      </c>
      <c r="AC91" s="78">
        <f>IFERROR(INDEX('I2017'!C$5:C$96,MATCH($C91,'I2017'!$A$5:$A$96,0)),"")</f>
        <v>6753.37</v>
      </c>
      <c r="AD91" s="78">
        <f>IFERROR(INDEX('I2017'!D$5:D$96,MATCH($C91,'I2017'!$A$5:$A$96,0)),"")</f>
        <v>14344.900000000001</v>
      </c>
      <c r="AE91" s="78">
        <f>IFERROR(INDEX('I2017'!E$5:E$96,MATCH($C91,'I2017'!$A$5:$A$96,0)),"")</f>
        <v>15355.759999999998</v>
      </c>
      <c r="AF91" s="78">
        <f>IFERROR(INDEX('I2017'!F$5:F$96,MATCH($C91,'I2017'!$A$5:$A$96,0)),"")</f>
        <v>13642.510000000002</v>
      </c>
      <c r="AG91" s="78">
        <f>IFERROR(INDEX('I2017'!G$5:G$96,MATCH($C91,'I2017'!$A$5:$A$96,0)),"")</f>
        <v>13676.79</v>
      </c>
      <c r="AH91" s="78">
        <f>IFERROR(INDEX('I2017'!H$5:H$96,MATCH($C91,'I2017'!$A$5:$A$96,0)),"")</f>
        <v>14058.53</v>
      </c>
      <c r="AI91" s="78">
        <f>IFERROR(INDEX('I2017'!I$5:I$96,MATCH($C91,'I2017'!$A$5:$A$96,0)),"")</f>
        <v>23137.989999999998</v>
      </c>
      <c r="AJ91" s="78">
        <f>IFERROR(INDEX('I2017'!J$5:J$96,MATCH($C91,'I2017'!$A$5:$A$96,0)),"")</f>
        <v>15015.47</v>
      </c>
      <c r="AK91" s="78">
        <f>IFERROR(INDEX('I2017'!K$5:K$96,MATCH($C91,'I2017'!$A$5:$A$96,0)),"")</f>
        <v>19642.86</v>
      </c>
      <c r="AL91" s="78">
        <f>IFERROR(INDEX('I2017'!L$5:L$96,MATCH($C91,'I2017'!$A$5:$A$96,0)),"")</f>
        <v>7518.7199999999993</v>
      </c>
      <c r="AM91" s="78">
        <f>IFERROR(INDEX('I2017'!M$5:M$96,MATCH($C91,'I2017'!$A$5:$A$96,0)),"")</f>
        <v>14272.65</v>
      </c>
      <c r="AN91" s="78">
        <f>IFERROR(INDEX('I2018'!B$5:B$107,MATCH($C91,'I2018'!$A$5:$A$107,0)),"")</f>
        <v>12227.95</v>
      </c>
      <c r="AO91" s="78">
        <f>IFERROR(INDEX('I2018'!C$5:C$107,MATCH($C91,'I2018'!$A$5:$A$107,0)),"")</f>
        <v>17516.47</v>
      </c>
      <c r="AP91" s="78">
        <f>IFERROR(INDEX('I2018'!D$5:D$107,MATCH($C91,'I2018'!$A$5:$A$107,0)),"")</f>
        <v>37352.31</v>
      </c>
      <c r="AQ91" s="78">
        <f>IFERROR(INDEX('I2018'!E$5:E$107,MATCH($C91,'I2018'!$A$5:$A$107,0)),"")</f>
        <v>31111.91</v>
      </c>
      <c r="AR91" s="78">
        <f>IFERROR(INDEX('I2018'!F$5:F$107,MATCH($C91,'I2018'!$A$5:$A$107,0)),"")</f>
        <v>37264.58</v>
      </c>
      <c r="AS91" s="78">
        <f>IFERROR(INDEX('I2018'!G$5:G$107,MATCH($C91,'I2018'!$A$5:$A$107,0)),"")</f>
        <v>32732.35</v>
      </c>
      <c r="AT91" s="78">
        <f>IFERROR(INDEX('I2018'!H$5:H$107,MATCH($C91,'I2018'!$A$5:$A$107,0)),"")</f>
        <v>55275.82</v>
      </c>
      <c r="AU91" s="78">
        <f>IFERROR(INDEX('I2018'!I$5:I$107,MATCH($C91,'I2018'!$A$5:$A$107,0)),"")</f>
        <v>77143.66</v>
      </c>
      <c r="AV91" s="78">
        <f>IFERROR(INDEX('I2018'!J$5:J$107,MATCH($C91,'I2018'!$A$5:$A$107,0)),"")</f>
        <v>54512.630000000005</v>
      </c>
      <c r="AW91" s="78">
        <f>IFERROR(INDEX('I2018'!K$5:K$107,MATCH($C91,'I2018'!$A$5:$A$107,0)),"")</f>
        <v>54526.869999999995</v>
      </c>
      <c r="AX91" s="78">
        <f>IFERROR(INDEX('I2018'!L$5:L$107,MATCH($C91,'I2018'!$A$5:$A$107,0)),"")</f>
        <v>62348.55000000001</v>
      </c>
      <c r="AY91" s="78">
        <f>IFERROR(INDEX('I2018'!M$5:M$107,MATCH($C91,'I2018'!$A$5:$A$107,0)),"")</f>
        <v>49347.85</v>
      </c>
      <c r="AZ91" s="78">
        <f>IFERROR(INDEX('I2019'!B$5:B$112,MATCH($C91,'I2019'!$A$5:$A$112,0)),"")</f>
        <v>56550.360000000008</v>
      </c>
      <c r="BA91" s="78">
        <f>IFERROR(INDEX('I2019'!C$5:C$112,MATCH($C91,'I2019'!$A$5:$A$112,0)),"")</f>
        <v>51604.430000000008</v>
      </c>
      <c r="BB91" s="78">
        <f>IFERROR(INDEX('I2019'!D$5:D$112,MATCH($C91,'I2019'!$A$5:$A$112,0)),"")</f>
        <v>66961.549999999988</v>
      </c>
      <c r="BC91" s="78">
        <f>IFERROR(INDEX('I2019'!E$5:E$112,MATCH($C91,'I2019'!$A$5:$A$112,0)),"")</f>
        <v>81043.720000000016</v>
      </c>
      <c r="BD91" s="78">
        <f>IFERROR(INDEX('I2019'!F$5:F$112,MATCH($C91,'I2019'!$A$5:$A$112,0)),"")</f>
        <v>72569.179999999993</v>
      </c>
      <c r="BE91" s="78">
        <f>IFERROR(INDEX('I2019'!G$5:G$112,MATCH($C91,'I2019'!$A$5:$A$112,0)),"")</f>
        <v>63747.619999999995</v>
      </c>
      <c r="BF91" s="78">
        <f>IFERROR(INDEX('I2019'!H$5:H$112,MATCH($C91,'I2019'!$A$5:$A$112,0)),"")</f>
        <v>77761.72</v>
      </c>
      <c r="BG91" s="78">
        <f>IFERROR(INDEX('I2019'!I$5:I$112,MATCH($C91,'I2019'!$A$5:$A$112,0)),"")</f>
        <v>62673.290000000008</v>
      </c>
      <c r="BH91" s="78">
        <f>IFERROR(INDEX('I2019'!J$5:J$112,MATCH($C91,'I2019'!$A$5:$A$112,0)),"")</f>
        <v>90691.87</v>
      </c>
      <c r="BI91" s="78">
        <f>IFERROR(INDEX('I2019'!K$5:K$112,MATCH($C91,'I2019'!$A$5:$A$112,0)),"")</f>
        <v>72012.639999999999</v>
      </c>
      <c r="BJ91" s="78">
        <f>IFERROR(INDEX('I2019'!L$5:L$112,MATCH($C91,'I2019'!$A$5:$A$112,0)),"")</f>
        <v>74460.939999999988</v>
      </c>
      <c r="BK91" s="78">
        <f>IFERROR(INDEX('I2019'!M$5:M$112,MATCH($C91,'I2019'!$A$5:$A$112,0)),"")</f>
        <v>78499.160000000018</v>
      </c>
      <c r="BL91" s="78">
        <f>IFERROR(INDEX('I2020'!B$5:B$113,MATCH($C91,'I2020'!$A$5:$A$113,0)),"")</f>
        <v>66106.61</v>
      </c>
      <c r="BM91" s="78">
        <f>IFERROR(INDEX('I2020'!C$5:C$113,MATCH($C91,'I2020'!$A$5:$A$113,0)),"")</f>
        <v>82470.37000000001</v>
      </c>
      <c r="BN91" s="78">
        <f>IFERROR(INDEX('I2020'!D$5:D$113,MATCH($C91,'I2020'!$A$5:$A$113,0)),"")</f>
        <v>127605.4</v>
      </c>
      <c r="BO91" s="78">
        <f>IFERROR(INDEX('I2020'!E$5:E$113,MATCH($C91,'I2020'!$A$5:$A$113,0)),"")</f>
        <v>111166.77999999998</v>
      </c>
      <c r="BP91" s="78">
        <f>IFERROR(INDEX('I2020'!F$5:F$113,MATCH($C91,'I2020'!$A$5:$A$113,0)),"")</f>
        <v>87723.3</v>
      </c>
      <c r="BQ91" s="398">
        <f>IFERROR(INDEX('I2020'!G$5:G$113,MATCH($C91,'I2020'!$A$5:$A$113,0)),"")</f>
        <v>137714.59</v>
      </c>
      <c r="BR91" s="153">
        <f t="shared" ref="BQ91:CI91" si="93">BR59+BR67+BR71+BR79+SUM(BR80:BR83)+SUM(BR87:BR89)</f>
        <v>87301.84087917491</v>
      </c>
      <c r="BS91" s="153">
        <f t="shared" si="93"/>
        <v>88444.057901658118</v>
      </c>
      <c r="BT91" s="153">
        <f t="shared" si="93"/>
        <v>90386.437658899842</v>
      </c>
      <c r="BU91" s="153">
        <f t="shared" si="93"/>
        <v>93030.40132538577</v>
      </c>
      <c r="BV91" s="153">
        <f t="shared" si="93"/>
        <v>96300.772276049916</v>
      </c>
      <c r="BW91" s="153">
        <f t="shared" si="93"/>
        <v>100141.31682994189</v>
      </c>
      <c r="BX91" s="153">
        <f t="shared" si="93"/>
        <v>103541.60942189254</v>
      </c>
      <c r="BY91" s="153">
        <f t="shared" si="93"/>
        <v>106594.56233791375</v>
      </c>
      <c r="BZ91" s="153">
        <f t="shared" si="93"/>
        <v>109374.5781673376</v>
      </c>
      <c r="CA91" s="153">
        <f t="shared" si="93"/>
        <v>111941.25283305647</v>
      </c>
      <c r="CB91" s="153">
        <f t="shared" si="93"/>
        <v>114342.33803207723</v>
      </c>
      <c r="CC91" s="153">
        <f t="shared" si="93"/>
        <v>116616.11120457204</v>
      </c>
      <c r="CD91" s="153">
        <f t="shared" si="93"/>
        <v>118793.27152597567</v>
      </c>
      <c r="CE91" s="153">
        <f t="shared" si="93"/>
        <v>120898.45671777264</v>
      </c>
      <c r="CF91" s="153">
        <f t="shared" si="93"/>
        <v>122951.45651349312</v>
      </c>
      <c r="CG91" s="153">
        <f t="shared" si="93"/>
        <v>124968.18344913609</v>
      </c>
      <c r="CH91" s="153">
        <f t="shared" si="93"/>
        <v>126961.44951339901</v>
      </c>
      <c r="CI91" s="154">
        <f t="shared" si="93"/>
        <v>128941.58748602068</v>
      </c>
      <c r="CJ91" s="139"/>
    </row>
    <row r="92" spans="1:88" x14ac:dyDescent="0.3">
      <c r="A92" s="33"/>
      <c r="B92" s="68"/>
      <c r="C92" s="21" t="s">
        <v>182</v>
      </c>
      <c r="D92" s="102">
        <f>IFERROR(INDEX('I2015'!B$5:B$73,MATCH($C92,'I2015'!$A$5:$A$73,0)),"")</f>
        <v>119.04</v>
      </c>
      <c r="E92" s="102">
        <f>IFERROR(INDEX('I2015'!C$5:C$73,MATCH($C92,'I2015'!$A$5:$A$73,0)),"")</f>
        <v>63.53</v>
      </c>
      <c r="F92" s="102">
        <f>IFERROR(INDEX('I2015'!D$5:D$73,MATCH($C92,'I2015'!$A$5:$A$73,0)),"")</f>
        <v>91.53</v>
      </c>
      <c r="G92" s="102">
        <f>IFERROR(INDEX('I2015'!E$5:E$73,MATCH($C92,'I2015'!$A$5:$A$73,0)),"")</f>
        <v>63.53</v>
      </c>
      <c r="H92" s="102">
        <f>IFERROR(INDEX('I2015'!F$5:F$73,MATCH($C92,'I2015'!$A$5:$A$73,0)),"")</f>
        <v>91.53</v>
      </c>
      <c r="I92" s="102">
        <f>IFERROR(INDEX('I2015'!G$5:G$73,MATCH($C92,'I2015'!$A$5:$A$73,0)),"")</f>
        <v>207.52</v>
      </c>
      <c r="J92" s="102">
        <f>IFERROR(INDEX('I2015'!H$5:H$73,MATCH($C92,'I2015'!$A$5:$A$73,0)),"")</f>
        <v>87.53</v>
      </c>
      <c r="K92" s="102">
        <f>IFERROR(INDEX('I2015'!I$5:I$73,MATCH($C92,'I2015'!$A$5:$A$73,0)),"")</f>
        <v>105.53</v>
      </c>
      <c r="L92" s="102">
        <f>IFERROR(INDEX('I2015'!J$5:J$73,MATCH($C92,'I2015'!$A$5:$A$73,0)),"")</f>
        <v>87.53</v>
      </c>
      <c r="M92" s="102">
        <f>IFERROR(INDEX('I2015'!K$5:K$73,MATCH($C92,'I2015'!$A$5:$A$73,0)),"")</f>
        <v>98.19</v>
      </c>
      <c r="N92" s="102">
        <f>IFERROR(INDEX('I2015'!L$5:L$73,MATCH($C92,'I2015'!$A$5:$A$73,0)),"")</f>
        <v>98.19</v>
      </c>
      <c r="O92" s="102">
        <f>IFERROR(INDEX('I2015'!M$5:M$73,MATCH($C92,'I2015'!$A$5:$A$73,0)),"")</f>
        <v>83.26</v>
      </c>
      <c r="P92" s="102" t="str">
        <f>IFERROR(INDEX('I2016'!B$5:B$90,MATCH($C92,'I2016'!$A$5:$A$90,0)),"")</f>
        <v/>
      </c>
      <c r="Q92" s="102" t="str">
        <f>IFERROR(INDEX('I2016'!C$5:C$90,MATCH($C92,'I2016'!$A$5:$A$90,0)),"")</f>
        <v/>
      </c>
      <c r="R92" s="102" t="str">
        <f>IFERROR(INDEX('I2016'!D$5:D$90,MATCH($C92,'I2016'!$A$5:$A$90,0)),"")</f>
        <v/>
      </c>
      <c r="S92" s="102" t="str">
        <f>IFERROR(INDEX('I2016'!E$5:E$90,MATCH($C92,'I2016'!$A$5:$A$90,0)),"")</f>
        <v/>
      </c>
      <c r="T92" s="102" t="str">
        <f>IFERROR(INDEX('I2016'!F$5:F$90,MATCH($C92,'I2016'!$A$5:$A$90,0)),"")</f>
        <v/>
      </c>
      <c r="U92" s="102" t="str">
        <f>IFERROR(INDEX('I2016'!G$5:G$90,MATCH($C92,'I2016'!$A$5:$A$90,0)),"")</f>
        <v/>
      </c>
      <c r="V92" s="102" t="str">
        <f>IFERROR(INDEX('I2016'!H$5:H$90,MATCH($C92,'I2016'!$A$5:$A$90,0)),"")</f>
        <v/>
      </c>
      <c r="W92" s="102" t="str">
        <f>IFERROR(INDEX('I2016'!I$5:I$90,MATCH($C92,'I2016'!$A$5:$A$90,0)),"")</f>
        <v/>
      </c>
      <c r="X92" s="102" t="str">
        <f>IFERROR(INDEX('I2016'!J$5:J$90,MATCH($C92,'I2016'!$A$5:$A$90,0)),"")</f>
        <v/>
      </c>
      <c r="Y92" s="102" t="str">
        <f>IFERROR(INDEX('I2016'!K$5:K$90,MATCH($C92,'I2016'!$A$5:$A$90,0)),"")</f>
        <v/>
      </c>
      <c r="Z92" s="102" t="str">
        <f>IFERROR(INDEX('I2016'!L$5:L$90,MATCH($C92,'I2016'!$A$5:$A$90,0)),"")</f>
        <v/>
      </c>
      <c r="AA92" s="102" t="str">
        <f>IFERROR(INDEX('I2016'!M$5:M$90,MATCH($C92,'I2016'!$A$5:$A$90,0)),"")</f>
        <v/>
      </c>
      <c r="AB92" s="102" t="str">
        <f>IFERROR(INDEX('I2017'!B$5:B$96,MATCH($C92,'I2017'!$A$5:$A$96,0)),"")</f>
        <v/>
      </c>
      <c r="AC92" s="102" t="str">
        <f>IFERROR(INDEX('I2017'!C$5:C$96,MATCH($C92,'I2017'!$A$5:$A$96,0)),"")</f>
        <v/>
      </c>
      <c r="AD92" s="102" t="str">
        <f>IFERROR(INDEX('I2017'!D$5:D$96,MATCH($C92,'I2017'!$A$5:$A$96,0)),"")</f>
        <v/>
      </c>
      <c r="AE92" s="102" t="str">
        <f>IFERROR(INDEX('I2017'!E$5:E$96,MATCH($C92,'I2017'!$A$5:$A$96,0)),"")</f>
        <v/>
      </c>
      <c r="AF92" s="102" t="str">
        <f>IFERROR(INDEX('I2017'!F$5:F$96,MATCH($C92,'I2017'!$A$5:$A$96,0)),"")</f>
        <v/>
      </c>
      <c r="AG92" s="102" t="str">
        <f>IFERROR(INDEX('I2017'!G$5:G$96,MATCH($C92,'I2017'!$A$5:$A$96,0)),"")</f>
        <v/>
      </c>
      <c r="AH92" s="102" t="str">
        <f>IFERROR(INDEX('I2017'!H$5:H$96,MATCH($C92,'I2017'!$A$5:$A$96,0)),"")</f>
        <v/>
      </c>
      <c r="AI92" s="102" t="str">
        <f>IFERROR(INDEX('I2017'!I$5:I$96,MATCH($C92,'I2017'!$A$5:$A$96,0)),"")</f>
        <v/>
      </c>
      <c r="AJ92" s="102" t="str">
        <f>IFERROR(INDEX('I2017'!J$5:J$96,MATCH($C92,'I2017'!$A$5:$A$96,0)),"")</f>
        <v/>
      </c>
      <c r="AK92" s="102" t="str">
        <f>IFERROR(INDEX('I2017'!K$5:K$96,MATCH($C92,'I2017'!$A$5:$A$96,0)),"")</f>
        <v/>
      </c>
      <c r="AL92" s="102" t="str">
        <f>IFERROR(INDEX('I2017'!L$5:L$96,MATCH($C92,'I2017'!$A$5:$A$96,0)),"")</f>
        <v/>
      </c>
      <c r="AM92" s="102" t="str">
        <f>IFERROR(INDEX('I2017'!M$5:M$96,MATCH($C92,'I2017'!$A$5:$A$96,0)),"")</f>
        <v/>
      </c>
      <c r="AN92" s="102" t="str">
        <f>IFERROR(INDEX('I2018'!B$5:B$107,MATCH($C92,'I2018'!$A$5:$A$107,0)),"")</f>
        <v/>
      </c>
      <c r="AO92" s="102" t="str">
        <f>IFERROR(INDEX('I2018'!C$5:C$107,MATCH($C92,'I2018'!$A$5:$A$107,0)),"")</f>
        <v/>
      </c>
      <c r="AP92" s="102" t="str">
        <f>IFERROR(INDEX('I2018'!D$5:D$107,MATCH($C92,'I2018'!$A$5:$A$107,0)),"")</f>
        <v/>
      </c>
      <c r="AQ92" s="102" t="str">
        <f>IFERROR(INDEX('I2018'!E$5:E$107,MATCH($C92,'I2018'!$A$5:$A$107,0)),"")</f>
        <v/>
      </c>
      <c r="AR92" s="102" t="str">
        <f>IFERROR(INDEX('I2018'!F$5:F$107,MATCH($C92,'I2018'!$A$5:$A$107,0)),"")</f>
        <v/>
      </c>
      <c r="AS92" s="102" t="str">
        <f>IFERROR(INDEX('I2018'!G$5:G$107,MATCH($C92,'I2018'!$A$5:$A$107,0)),"")</f>
        <v/>
      </c>
      <c r="AT92" s="102" t="str">
        <f>IFERROR(INDEX('I2018'!H$5:H$107,MATCH($C92,'I2018'!$A$5:$A$107,0)),"")</f>
        <v/>
      </c>
      <c r="AU92" s="102" t="str">
        <f>IFERROR(INDEX('I2018'!I$5:I$107,MATCH($C92,'I2018'!$A$5:$A$107,0)),"")</f>
        <v/>
      </c>
      <c r="AV92" s="102" t="str">
        <f>IFERROR(INDEX('I2018'!J$5:J$107,MATCH($C92,'I2018'!$A$5:$A$107,0)),"")</f>
        <v/>
      </c>
      <c r="AW92" s="102" t="str">
        <f>IFERROR(INDEX('I2018'!K$5:K$107,MATCH($C92,'I2018'!$A$5:$A$107,0)),"")</f>
        <v/>
      </c>
      <c r="AX92" s="102" t="str">
        <f>IFERROR(INDEX('I2018'!L$5:L$107,MATCH($C92,'I2018'!$A$5:$A$107,0)),"")</f>
        <v/>
      </c>
      <c r="AY92" s="102" t="str">
        <f>IFERROR(INDEX('I2018'!M$5:M$107,MATCH($C92,'I2018'!$A$5:$A$107,0)),"")</f>
        <v/>
      </c>
      <c r="AZ92" s="102" t="str">
        <f>IFERROR(INDEX('I2019'!B$5:B$112,MATCH($C92,'I2019'!$A$5:$A$112,0)),"")</f>
        <v/>
      </c>
      <c r="BA92" s="102" t="str">
        <f>IFERROR(INDEX('I2019'!C$5:C$112,MATCH($C92,'I2019'!$A$5:$A$112,0)),"")</f>
        <v/>
      </c>
      <c r="BB92" s="102" t="str">
        <f>IFERROR(INDEX('I2019'!D$5:D$112,MATCH($C92,'I2019'!$A$5:$A$112,0)),"")</f>
        <v/>
      </c>
      <c r="BC92" s="102" t="str">
        <f>IFERROR(INDEX('I2019'!E$5:E$112,MATCH($C92,'I2019'!$A$5:$A$112,0)),"")</f>
        <v/>
      </c>
      <c r="BD92" s="102" t="str">
        <f>IFERROR(INDEX('I2019'!F$5:F$112,MATCH($C92,'I2019'!$A$5:$A$112,0)),"")</f>
        <v/>
      </c>
      <c r="BE92" s="102" t="str">
        <f>IFERROR(INDEX('I2019'!G$5:G$112,MATCH($C92,'I2019'!$A$5:$A$112,0)),"")</f>
        <v/>
      </c>
      <c r="BF92" s="102" t="str">
        <f>IFERROR(INDEX('I2019'!H$5:H$112,MATCH($C92,'I2019'!$A$5:$A$112,0)),"")</f>
        <v/>
      </c>
      <c r="BG92" s="102" t="str">
        <f>IFERROR(INDEX('I2019'!I$5:I$112,MATCH($C92,'I2019'!$A$5:$A$112,0)),"")</f>
        <v/>
      </c>
      <c r="BH92" s="102" t="str">
        <f>IFERROR(INDEX('I2019'!J$5:J$112,MATCH($C92,'I2019'!$A$5:$A$112,0)),"")</f>
        <v/>
      </c>
      <c r="BI92" s="102" t="str">
        <f>IFERROR(INDEX('I2019'!K$5:K$112,MATCH($C92,'I2019'!$A$5:$A$112,0)),"")</f>
        <v/>
      </c>
      <c r="BJ92" s="102" t="str">
        <f>IFERROR(INDEX('I2019'!L$5:L$112,MATCH($C92,'I2019'!$A$5:$A$112,0)),"")</f>
        <v/>
      </c>
      <c r="BK92" s="102"/>
      <c r="BL92" s="102" t="str">
        <f>IFERROR(INDEX('I2020'!B$5:B$113,MATCH($C92,'I2020'!$A$5:$A$113,0)),"")</f>
        <v/>
      </c>
      <c r="BM92" s="102" t="str">
        <f>IFERROR(INDEX('I2020'!C$5:C$113,MATCH($C92,'I2020'!$A$5:$A$113,0)),"")</f>
        <v/>
      </c>
      <c r="BN92" s="102" t="str">
        <f>IFERROR(INDEX('I2020'!D$5:D$113,MATCH($C92,'I2020'!$A$5:$A$113,0)),"")</f>
        <v/>
      </c>
      <c r="BO92" s="102" t="str">
        <f>IFERROR(INDEX('I2020'!E$5:E$113,MATCH($C92,'I2020'!$A$5:$A$113,0)),"")</f>
        <v/>
      </c>
      <c r="BP92" s="102" t="str">
        <f>IFERROR(INDEX('I2020'!F$5:F$113,MATCH($C92,'I2020'!$A$5:$A$113,0)),"")</f>
        <v/>
      </c>
      <c r="BQ92" s="392" t="str">
        <f>IFERROR(INDEX('I2020'!G$5:G$113,MATCH($C92,'I2020'!$A$5:$A$113,0)),"")</f>
        <v/>
      </c>
      <c r="BR92" s="64"/>
      <c r="BS92" s="64"/>
      <c r="BT92" s="64"/>
      <c r="BU92" s="64"/>
      <c r="BV92" s="64"/>
      <c r="BW92" s="64"/>
      <c r="BX92" s="64"/>
      <c r="BY92" s="64"/>
      <c r="BZ92" s="64"/>
      <c r="CA92" s="64"/>
      <c r="CB92" s="64"/>
      <c r="CC92" s="64"/>
      <c r="CD92" s="64"/>
      <c r="CE92" s="64"/>
      <c r="CF92" s="64"/>
      <c r="CG92" s="64"/>
      <c r="CH92" s="64"/>
      <c r="CI92" s="124"/>
      <c r="CJ92" s="134"/>
    </row>
    <row r="93" spans="1:88" x14ac:dyDescent="0.3">
      <c r="A93" s="33"/>
      <c r="B93" s="68"/>
      <c r="C93" s="21" t="s">
        <v>183</v>
      </c>
      <c r="D93" s="102">
        <f>IFERROR(INDEX('I2015'!B$5:B$73,MATCH($C93,'I2015'!$A$5:$A$73,0)),"")</f>
        <v>0</v>
      </c>
      <c r="E93" s="102">
        <f>IFERROR(INDEX('I2015'!C$5:C$73,MATCH($C93,'I2015'!$A$5:$A$73,0)),"")</f>
        <v>0</v>
      </c>
      <c r="F93" s="102">
        <f>IFERROR(INDEX('I2015'!D$5:D$73,MATCH($C93,'I2015'!$A$5:$A$73,0)),"")</f>
        <v>360</v>
      </c>
      <c r="G93" s="102">
        <f>IFERROR(INDEX('I2015'!E$5:E$73,MATCH($C93,'I2015'!$A$5:$A$73,0)),"")</f>
        <v>0</v>
      </c>
      <c r="H93" s="102">
        <f>IFERROR(INDEX('I2015'!F$5:F$73,MATCH($C93,'I2015'!$A$5:$A$73,0)),"")</f>
        <v>0</v>
      </c>
      <c r="I93" s="102">
        <f>IFERROR(INDEX('I2015'!G$5:G$73,MATCH($C93,'I2015'!$A$5:$A$73,0)),"")</f>
        <v>0</v>
      </c>
      <c r="J93" s="102">
        <f>IFERROR(INDEX('I2015'!H$5:H$73,MATCH($C93,'I2015'!$A$5:$A$73,0)),"")</f>
        <v>0</v>
      </c>
      <c r="K93" s="102">
        <f>IFERROR(INDEX('I2015'!I$5:I$73,MATCH($C93,'I2015'!$A$5:$A$73,0)),"")</f>
        <v>0</v>
      </c>
      <c r="L93" s="102">
        <f>IFERROR(INDEX('I2015'!J$5:J$73,MATCH($C93,'I2015'!$A$5:$A$73,0)),"")</f>
        <v>149</v>
      </c>
      <c r="M93" s="102">
        <f>IFERROR(INDEX('I2015'!K$5:K$73,MATCH($C93,'I2015'!$A$5:$A$73,0)),"")</f>
        <v>675</v>
      </c>
      <c r="N93" s="102">
        <f>IFERROR(INDEX('I2015'!L$5:L$73,MATCH($C93,'I2015'!$A$5:$A$73,0)),"")</f>
        <v>0</v>
      </c>
      <c r="O93" s="102">
        <f>IFERROR(INDEX('I2015'!M$5:M$73,MATCH($C93,'I2015'!$A$5:$A$73,0)),"")</f>
        <v>0</v>
      </c>
      <c r="P93" s="102" t="str">
        <f>IFERROR(INDEX('I2016'!B$5:B$90,MATCH($C93,'I2016'!$A$5:$A$90,0)),"")</f>
        <v/>
      </c>
      <c r="Q93" s="102" t="str">
        <f>IFERROR(INDEX('I2016'!C$5:C$90,MATCH($C93,'I2016'!$A$5:$A$90,0)),"")</f>
        <v/>
      </c>
      <c r="R93" s="102" t="str">
        <f>IFERROR(INDEX('I2016'!D$5:D$90,MATCH($C93,'I2016'!$A$5:$A$90,0)),"")</f>
        <v/>
      </c>
      <c r="S93" s="102" t="str">
        <f>IFERROR(INDEX('I2016'!E$5:E$90,MATCH($C93,'I2016'!$A$5:$A$90,0)),"")</f>
        <v/>
      </c>
      <c r="T93" s="102" t="str">
        <f>IFERROR(INDEX('I2016'!F$5:F$90,MATCH($C93,'I2016'!$A$5:$A$90,0)),"")</f>
        <v/>
      </c>
      <c r="U93" s="102" t="str">
        <f>IFERROR(INDEX('I2016'!G$5:G$90,MATCH($C93,'I2016'!$A$5:$A$90,0)),"")</f>
        <v/>
      </c>
      <c r="V93" s="102" t="str">
        <f>IFERROR(INDEX('I2016'!H$5:H$90,MATCH($C93,'I2016'!$A$5:$A$90,0)),"")</f>
        <v/>
      </c>
      <c r="W93" s="102" t="str">
        <f>IFERROR(INDEX('I2016'!I$5:I$90,MATCH($C93,'I2016'!$A$5:$A$90,0)),"")</f>
        <v/>
      </c>
      <c r="X93" s="102" t="str">
        <f>IFERROR(INDEX('I2016'!J$5:J$90,MATCH($C93,'I2016'!$A$5:$A$90,0)),"")</f>
        <v/>
      </c>
      <c r="Y93" s="102" t="str">
        <f>IFERROR(INDEX('I2016'!K$5:K$90,MATCH($C93,'I2016'!$A$5:$A$90,0)),"")</f>
        <v/>
      </c>
      <c r="Z93" s="102" t="str">
        <f>IFERROR(INDEX('I2016'!L$5:L$90,MATCH($C93,'I2016'!$A$5:$A$90,0)),"")</f>
        <v/>
      </c>
      <c r="AA93" s="102" t="str">
        <f>IFERROR(INDEX('I2016'!M$5:M$90,MATCH($C93,'I2016'!$A$5:$A$90,0)),"")</f>
        <v/>
      </c>
      <c r="AB93" s="102" t="str">
        <f>IFERROR(INDEX('I2017'!B$5:B$96,MATCH($C93,'I2017'!$A$5:$A$96,0)),"")</f>
        <v/>
      </c>
      <c r="AC93" s="102" t="str">
        <f>IFERROR(INDEX('I2017'!C$5:C$96,MATCH($C93,'I2017'!$A$5:$A$96,0)),"")</f>
        <v/>
      </c>
      <c r="AD93" s="102" t="str">
        <f>IFERROR(INDEX('I2017'!D$5:D$96,MATCH($C93,'I2017'!$A$5:$A$96,0)),"")</f>
        <v/>
      </c>
      <c r="AE93" s="102" t="str">
        <f>IFERROR(INDEX('I2017'!E$5:E$96,MATCH($C93,'I2017'!$A$5:$A$96,0)),"")</f>
        <v/>
      </c>
      <c r="AF93" s="102" t="str">
        <f>IFERROR(INDEX('I2017'!F$5:F$96,MATCH($C93,'I2017'!$A$5:$A$96,0)),"")</f>
        <v/>
      </c>
      <c r="AG93" s="102" t="str">
        <f>IFERROR(INDEX('I2017'!G$5:G$96,MATCH($C93,'I2017'!$A$5:$A$96,0)),"")</f>
        <v/>
      </c>
      <c r="AH93" s="102" t="str">
        <f>IFERROR(INDEX('I2017'!H$5:H$96,MATCH($C93,'I2017'!$A$5:$A$96,0)),"")</f>
        <v/>
      </c>
      <c r="AI93" s="102" t="str">
        <f>IFERROR(INDEX('I2017'!I$5:I$96,MATCH($C93,'I2017'!$A$5:$A$96,0)),"")</f>
        <v/>
      </c>
      <c r="AJ93" s="102" t="str">
        <f>IFERROR(INDEX('I2017'!J$5:J$96,MATCH($C93,'I2017'!$A$5:$A$96,0)),"")</f>
        <v/>
      </c>
      <c r="AK93" s="102" t="str">
        <f>IFERROR(INDEX('I2017'!K$5:K$96,MATCH($C93,'I2017'!$A$5:$A$96,0)),"")</f>
        <v/>
      </c>
      <c r="AL93" s="102" t="str">
        <f>IFERROR(INDEX('I2017'!L$5:L$96,MATCH($C93,'I2017'!$A$5:$A$96,0)),"")</f>
        <v/>
      </c>
      <c r="AM93" s="102" t="str">
        <f>IFERROR(INDEX('I2017'!M$5:M$96,MATCH($C93,'I2017'!$A$5:$A$96,0)),"")</f>
        <v/>
      </c>
      <c r="AN93" s="102" t="str">
        <f>IFERROR(INDEX('I2018'!B$5:B$107,MATCH($C93,'I2018'!$A$5:$A$107,0)),"")</f>
        <v/>
      </c>
      <c r="AO93" s="102" t="str">
        <f>IFERROR(INDEX('I2018'!C$5:C$107,MATCH($C93,'I2018'!$A$5:$A$107,0)),"")</f>
        <v/>
      </c>
      <c r="AP93" s="102" t="str">
        <f>IFERROR(INDEX('I2018'!D$5:D$107,MATCH($C93,'I2018'!$A$5:$A$107,0)),"")</f>
        <v/>
      </c>
      <c r="AQ93" s="102" t="str">
        <f>IFERROR(INDEX('I2018'!E$5:E$107,MATCH($C93,'I2018'!$A$5:$A$107,0)),"")</f>
        <v/>
      </c>
      <c r="AR93" s="102" t="str">
        <f>IFERROR(INDEX('I2018'!F$5:F$107,MATCH($C93,'I2018'!$A$5:$A$107,0)),"")</f>
        <v/>
      </c>
      <c r="AS93" s="102" t="str">
        <f>IFERROR(INDEX('I2018'!G$5:G$107,MATCH($C93,'I2018'!$A$5:$A$107,0)),"")</f>
        <v/>
      </c>
      <c r="AT93" s="102" t="str">
        <f>IFERROR(INDEX('I2018'!H$5:H$107,MATCH($C93,'I2018'!$A$5:$A$107,0)),"")</f>
        <v/>
      </c>
      <c r="AU93" s="102" t="str">
        <f>IFERROR(INDEX('I2018'!I$5:I$107,MATCH($C93,'I2018'!$A$5:$A$107,0)),"")</f>
        <v/>
      </c>
      <c r="AV93" s="102" t="str">
        <f>IFERROR(INDEX('I2018'!J$5:J$107,MATCH($C93,'I2018'!$A$5:$A$107,0)),"")</f>
        <v/>
      </c>
      <c r="AW93" s="102" t="str">
        <f>IFERROR(INDEX('I2018'!K$5:K$107,MATCH($C93,'I2018'!$A$5:$A$107,0)),"")</f>
        <v/>
      </c>
      <c r="AX93" s="102" t="str">
        <f>IFERROR(INDEX('I2018'!L$5:L$107,MATCH($C93,'I2018'!$A$5:$A$107,0)),"")</f>
        <v/>
      </c>
      <c r="AY93" s="102" t="str">
        <f>IFERROR(INDEX('I2018'!M$5:M$107,MATCH($C93,'I2018'!$A$5:$A$107,0)),"")</f>
        <v/>
      </c>
      <c r="AZ93" s="102" t="str">
        <f>IFERROR(INDEX('I2019'!B$5:B$112,MATCH($C93,'I2019'!$A$5:$A$112,0)),"")</f>
        <v/>
      </c>
      <c r="BA93" s="102" t="str">
        <f>IFERROR(INDEX('I2019'!C$5:C$112,MATCH($C93,'I2019'!$A$5:$A$112,0)),"")</f>
        <v/>
      </c>
      <c r="BB93" s="102" t="str">
        <f>IFERROR(INDEX('I2019'!D$5:D$112,MATCH($C93,'I2019'!$A$5:$A$112,0)),"")</f>
        <v/>
      </c>
      <c r="BC93" s="102" t="str">
        <f>IFERROR(INDEX('I2019'!E$5:E$112,MATCH($C93,'I2019'!$A$5:$A$112,0)),"")</f>
        <v/>
      </c>
      <c r="BD93" s="102" t="str">
        <f>IFERROR(INDEX('I2019'!F$5:F$112,MATCH($C93,'I2019'!$A$5:$A$112,0)),"")</f>
        <v/>
      </c>
      <c r="BE93" s="102" t="str">
        <f>IFERROR(INDEX('I2019'!G$5:G$112,MATCH($C93,'I2019'!$A$5:$A$112,0)),"")</f>
        <v/>
      </c>
      <c r="BF93" s="102" t="str">
        <f>IFERROR(INDEX('I2019'!H$5:H$112,MATCH($C93,'I2019'!$A$5:$A$112,0)),"")</f>
        <v/>
      </c>
      <c r="BG93" s="102" t="str">
        <f>IFERROR(INDEX('I2019'!I$5:I$112,MATCH($C93,'I2019'!$A$5:$A$112,0)),"")</f>
        <v/>
      </c>
      <c r="BH93" s="102" t="str">
        <f>IFERROR(INDEX('I2019'!J$5:J$112,MATCH($C93,'I2019'!$A$5:$A$112,0)),"")</f>
        <v/>
      </c>
      <c r="BI93" s="102" t="str">
        <f>IFERROR(INDEX('I2019'!K$5:K$112,MATCH($C93,'I2019'!$A$5:$A$112,0)),"")</f>
        <v/>
      </c>
      <c r="BJ93" s="102" t="str">
        <f>IFERROR(INDEX('I2019'!L$5:L$112,MATCH($C93,'I2019'!$A$5:$A$112,0)),"")</f>
        <v/>
      </c>
      <c r="BK93" s="102" t="str">
        <f>IFERROR(INDEX('I2019'!M$5:M$112,MATCH($C93,'I2019'!$A$5:$A$112,0)),"")</f>
        <v/>
      </c>
      <c r="BL93" s="102" t="str">
        <f>IFERROR(INDEX('I2020'!B$5:B$113,MATCH($C93,'I2020'!$A$5:$A$113,0)),"")</f>
        <v/>
      </c>
      <c r="BM93" s="102" t="str">
        <f>IFERROR(INDEX('I2020'!C$5:C$113,MATCH($C93,'I2020'!$A$5:$A$113,0)),"")</f>
        <v/>
      </c>
      <c r="BN93" s="102" t="str">
        <f>IFERROR(INDEX('I2020'!D$5:D$113,MATCH($C93,'I2020'!$A$5:$A$113,0)),"")</f>
        <v/>
      </c>
      <c r="BO93" s="102" t="str">
        <f>IFERROR(INDEX('I2020'!E$5:E$113,MATCH($C93,'I2020'!$A$5:$A$113,0)),"")</f>
        <v/>
      </c>
      <c r="BP93" s="102" t="str">
        <f>IFERROR(INDEX('I2020'!F$5:F$113,MATCH($C93,'I2020'!$A$5:$A$113,0)),"")</f>
        <v/>
      </c>
      <c r="BQ93" s="392" t="str">
        <f>IFERROR(INDEX('I2020'!G$5:G$113,MATCH($C93,'I2020'!$A$5:$A$113,0)),"")</f>
        <v/>
      </c>
      <c r="BR93" s="64"/>
      <c r="BS93" s="64"/>
      <c r="BT93" s="64"/>
      <c r="BU93" s="64"/>
      <c r="BV93" s="64"/>
      <c r="BW93" s="64"/>
      <c r="BX93" s="64"/>
      <c r="BY93" s="64"/>
      <c r="BZ93" s="64"/>
      <c r="CA93" s="64"/>
      <c r="CB93" s="64"/>
      <c r="CC93" s="64"/>
      <c r="CD93" s="64"/>
      <c r="CE93" s="64"/>
      <c r="CF93" s="64"/>
      <c r="CG93" s="64"/>
      <c r="CH93" s="64"/>
      <c r="CI93" s="124"/>
      <c r="CJ93" s="134"/>
    </row>
    <row r="94" spans="1:88" x14ac:dyDescent="0.3">
      <c r="A94" s="33"/>
      <c r="B94" s="68"/>
      <c r="C94" s="21" t="s">
        <v>70</v>
      </c>
      <c r="D94" s="102" t="str">
        <f>IFERROR(INDEX('I2015'!B$5:B$73,MATCH($C94,'I2015'!$A$5:$A$73,0)),"")</f>
        <v/>
      </c>
      <c r="E94" s="102" t="str">
        <f>IFERROR(INDEX('I2015'!C$5:C$73,MATCH($C94,'I2015'!$A$5:$A$73,0)),"")</f>
        <v/>
      </c>
      <c r="F94" s="102" t="str">
        <f>IFERROR(INDEX('I2015'!D$5:D$73,MATCH($C94,'I2015'!$A$5:$A$73,0)),"")</f>
        <v/>
      </c>
      <c r="G94" s="102" t="str">
        <f>IFERROR(INDEX('I2015'!E$5:E$73,MATCH($C94,'I2015'!$A$5:$A$73,0)),"")</f>
        <v/>
      </c>
      <c r="H94" s="102" t="str">
        <f>IFERROR(INDEX('I2015'!F$5:F$73,MATCH($C94,'I2015'!$A$5:$A$73,0)),"")</f>
        <v/>
      </c>
      <c r="I94" s="102" t="str">
        <f>IFERROR(INDEX('I2015'!G$5:G$73,MATCH($C94,'I2015'!$A$5:$A$73,0)),"")</f>
        <v/>
      </c>
      <c r="J94" s="102" t="str">
        <f>IFERROR(INDEX('I2015'!H$5:H$73,MATCH($C94,'I2015'!$A$5:$A$73,0)),"")</f>
        <v/>
      </c>
      <c r="K94" s="102" t="str">
        <f>IFERROR(INDEX('I2015'!I$5:I$73,MATCH($C94,'I2015'!$A$5:$A$73,0)),"")</f>
        <v/>
      </c>
      <c r="L94" s="102" t="str">
        <f>IFERROR(INDEX('I2015'!J$5:J$73,MATCH($C94,'I2015'!$A$5:$A$73,0)),"")</f>
        <v/>
      </c>
      <c r="M94" s="102" t="str">
        <f>IFERROR(INDEX('I2015'!K$5:K$73,MATCH($C94,'I2015'!$A$5:$A$73,0)),"")</f>
        <v/>
      </c>
      <c r="N94" s="102" t="str">
        <f>IFERROR(INDEX('I2015'!L$5:L$73,MATCH($C94,'I2015'!$A$5:$A$73,0)),"")</f>
        <v/>
      </c>
      <c r="O94" s="102" t="str">
        <f>IFERROR(INDEX('I2015'!M$5:M$73,MATCH($C94,'I2015'!$A$5:$A$73,0)),"")</f>
        <v/>
      </c>
      <c r="P94" s="102" t="str">
        <f>IFERROR(INDEX('I2016'!B$5:B$90,MATCH($C94,'I2016'!$A$5:$A$90,0)),"")</f>
        <v/>
      </c>
      <c r="Q94" s="102" t="str">
        <f>IFERROR(INDEX('I2016'!C$5:C$90,MATCH($C94,'I2016'!$A$5:$A$90,0)),"")</f>
        <v/>
      </c>
      <c r="R94" s="102" t="str">
        <f>IFERROR(INDEX('I2016'!D$5:D$90,MATCH($C94,'I2016'!$A$5:$A$90,0)),"")</f>
        <v/>
      </c>
      <c r="S94" s="102" t="str">
        <f>IFERROR(INDEX('I2016'!E$5:E$90,MATCH($C94,'I2016'!$A$5:$A$90,0)),"")</f>
        <v/>
      </c>
      <c r="T94" s="102" t="str">
        <f>IFERROR(INDEX('I2016'!F$5:F$90,MATCH($C94,'I2016'!$A$5:$A$90,0)),"")</f>
        <v/>
      </c>
      <c r="U94" s="102" t="str">
        <f>IFERROR(INDEX('I2016'!G$5:G$90,MATCH($C94,'I2016'!$A$5:$A$90,0)),"")</f>
        <v/>
      </c>
      <c r="V94" s="102" t="str">
        <f>IFERROR(INDEX('I2016'!H$5:H$90,MATCH($C94,'I2016'!$A$5:$A$90,0)),"")</f>
        <v/>
      </c>
      <c r="W94" s="102" t="str">
        <f>IFERROR(INDEX('I2016'!I$5:I$90,MATCH($C94,'I2016'!$A$5:$A$90,0)),"")</f>
        <v/>
      </c>
      <c r="X94" s="102" t="str">
        <f>IFERROR(INDEX('I2016'!J$5:J$90,MATCH($C94,'I2016'!$A$5:$A$90,0)),"")</f>
        <v/>
      </c>
      <c r="Y94" s="102" t="str">
        <f>IFERROR(INDEX('I2016'!K$5:K$90,MATCH($C94,'I2016'!$A$5:$A$90,0)),"")</f>
        <v/>
      </c>
      <c r="Z94" s="102" t="str">
        <f>IFERROR(INDEX('I2016'!L$5:L$90,MATCH($C94,'I2016'!$A$5:$A$90,0)),"")</f>
        <v/>
      </c>
      <c r="AA94" s="102" t="str">
        <f>IFERROR(INDEX('I2016'!M$5:M$90,MATCH($C94,'I2016'!$A$5:$A$90,0)),"")</f>
        <v/>
      </c>
      <c r="AB94" s="102" t="str">
        <f>IFERROR(INDEX('I2017'!B$5:B$96,MATCH($C94,'I2017'!$A$5:$A$96,0)),"")</f>
        <v/>
      </c>
      <c r="AC94" s="102" t="str">
        <f>IFERROR(INDEX('I2017'!C$5:C$96,MATCH($C94,'I2017'!$A$5:$A$96,0)),"")</f>
        <v/>
      </c>
      <c r="AD94" s="102" t="str">
        <f>IFERROR(INDEX('I2017'!D$5:D$96,MATCH($C94,'I2017'!$A$5:$A$96,0)),"")</f>
        <v/>
      </c>
      <c r="AE94" s="102" t="str">
        <f>IFERROR(INDEX('I2017'!E$5:E$96,MATCH($C94,'I2017'!$A$5:$A$96,0)),"")</f>
        <v/>
      </c>
      <c r="AF94" s="102" t="str">
        <f>IFERROR(INDEX('I2017'!F$5:F$96,MATCH($C94,'I2017'!$A$5:$A$96,0)),"")</f>
        <v/>
      </c>
      <c r="AG94" s="102" t="str">
        <f>IFERROR(INDEX('I2017'!G$5:G$96,MATCH($C94,'I2017'!$A$5:$A$96,0)),"")</f>
        <v/>
      </c>
      <c r="AH94" s="102" t="str">
        <f>IFERROR(INDEX('I2017'!H$5:H$96,MATCH($C94,'I2017'!$A$5:$A$96,0)),"")</f>
        <v/>
      </c>
      <c r="AI94" s="102" t="str">
        <f>IFERROR(INDEX('I2017'!I$5:I$96,MATCH($C94,'I2017'!$A$5:$A$96,0)),"")</f>
        <v/>
      </c>
      <c r="AJ94" s="102" t="str">
        <f>IFERROR(INDEX('I2017'!J$5:J$96,MATCH($C94,'I2017'!$A$5:$A$96,0)),"")</f>
        <v/>
      </c>
      <c r="AK94" s="102" t="str">
        <f>IFERROR(INDEX('I2017'!K$5:K$96,MATCH($C94,'I2017'!$A$5:$A$96,0)),"")</f>
        <v/>
      </c>
      <c r="AL94" s="102" t="str">
        <f>IFERROR(INDEX('I2017'!L$5:L$96,MATCH($C94,'I2017'!$A$5:$A$96,0)),"")</f>
        <v/>
      </c>
      <c r="AM94" s="102" t="str">
        <f>IFERROR(INDEX('I2017'!M$5:M$96,MATCH($C94,'I2017'!$A$5:$A$96,0)),"")</f>
        <v/>
      </c>
      <c r="AN94" s="102">
        <f>IFERROR(INDEX('I2018'!B$5:B$107,MATCH($C94,'I2018'!$A$5:$A$107,0)),"")</f>
        <v>0</v>
      </c>
      <c r="AO94" s="102">
        <f>IFERROR(INDEX('I2018'!C$5:C$107,MATCH($C94,'I2018'!$A$5:$A$107,0)),"")</f>
        <v>0</v>
      </c>
      <c r="AP94" s="102">
        <f>IFERROR(INDEX('I2018'!D$5:D$107,MATCH($C94,'I2018'!$A$5:$A$107,0)),"")</f>
        <v>0</v>
      </c>
      <c r="AQ94" s="102">
        <f>IFERROR(INDEX('I2018'!E$5:E$107,MATCH($C94,'I2018'!$A$5:$A$107,0)),"")</f>
        <v>0</v>
      </c>
      <c r="AR94" s="102">
        <f>IFERROR(INDEX('I2018'!F$5:F$107,MATCH($C94,'I2018'!$A$5:$A$107,0)),"")</f>
        <v>0</v>
      </c>
      <c r="AS94" s="102">
        <f>IFERROR(INDEX('I2018'!G$5:G$107,MATCH($C94,'I2018'!$A$5:$A$107,0)),"")</f>
        <v>0</v>
      </c>
      <c r="AT94" s="102">
        <f>IFERROR(INDEX('I2018'!H$5:H$107,MATCH($C94,'I2018'!$A$5:$A$107,0)),"")</f>
        <v>0</v>
      </c>
      <c r="AU94" s="102">
        <f>IFERROR(INDEX('I2018'!I$5:I$107,MATCH($C94,'I2018'!$A$5:$A$107,0)),"")</f>
        <v>0</v>
      </c>
      <c r="AV94" s="102">
        <f>IFERROR(INDEX('I2018'!J$5:J$107,MATCH($C94,'I2018'!$A$5:$A$107,0)),"")</f>
        <v>826.43</v>
      </c>
      <c r="AW94" s="102">
        <f>IFERROR(INDEX('I2018'!K$5:K$107,MATCH($C94,'I2018'!$A$5:$A$107,0)),"")</f>
        <v>0</v>
      </c>
      <c r="AX94" s="102">
        <f>IFERROR(INDEX('I2018'!L$5:L$107,MATCH($C94,'I2018'!$A$5:$A$107,0)),"")</f>
        <v>0</v>
      </c>
      <c r="AY94" s="102">
        <f>IFERROR(INDEX('I2018'!M$5:M$107,MATCH($C94,'I2018'!$A$5:$A$107,0)),"")</f>
        <v>0</v>
      </c>
      <c r="AZ94" s="102">
        <f>IFERROR(INDEX('I2019'!B$5:B$112,MATCH($C94,'I2019'!$A$5:$A$112,0)),"")</f>
        <v>765.82</v>
      </c>
      <c r="BA94" s="102">
        <f>IFERROR(INDEX('I2019'!C$5:C$112,MATCH($C94,'I2019'!$A$5:$A$112,0)),"")</f>
        <v>0</v>
      </c>
      <c r="BB94" s="102">
        <f>IFERROR(INDEX('I2019'!D$5:D$112,MATCH($C94,'I2019'!$A$5:$A$112,0)),"")</f>
        <v>0</v>
      </c>
      <c r="BC94" s="102">
        <f>IFERROR(INDEX('I2019'!E$5:E$112,MATCH($C94,'I2019'!$A$5:$A$112,0)),"")</f>
        <v>2103</v>
      </c>
      <c r="BD94" s="102">
        <f>IFERROR(INDEX('I2019'!F$5:F$112,MATCH($C94,'I2019'!$A$5:$A$112,0)),"")</f>
        <v>1555.09</v>
      </c>
      <c r="BE94" s="102">
        <f>IFERROR(INDEX('I2019'!G$5:G$112,MATCH($C94,'I2019'!$A$5:$A$112,0)),"")</f>
        <v>0</v>
      </c>
      <c r="BF94" s="102">
        <f>IFERROR(INDEX('I2019'!H$5:H$112,MATCH($C94,'I2019'!$A$5:$A$112,0)),"")</f>
        <v>0</v>
      </c>
      <c r="BG94" s="102">
        <f>IFERROR(INDEX('I2019'!I$5:I$112,MATCH($C94,'I2019'!$A$5:$A$112,0)),"")</f>
        <v>0</v>
      </c>
      <c r="BH94" s="102">
        <f>IFERROR(INDEX('I2019'!J$5:J$112,MATCH($C94,'I2019'!$A$5:$A$112,0)),"")</f>
        <v>1555.09</v>
      </c>
      <c r="BI94" s="102">
        <f>IFERROR(INDEX('I2019'!K$5:K$112,MATCH($C94,'I2019'!$A$5:$A$112,0)),"")</f>
        <v>0</v>
      </c>
      <c r="BJ94" s="102">
        <f>IFERROR(INDEX('I2019'!L$5:L$112,MATCH($C94,'I2019'!$A$5:$A$112,0)),"")</f>
        <v>0</v>
      </c>
      <c r="BK94" s="102">
        <f>IFERROR(INDEX('I2019'!M$5:M$112,MATCH($C94,'I2019'!$A$5:$A$112,0)),"")</f>
        <v>0</v>
      </c>
      <c r="BL94" s="102" t="str">
        <f>IFERROR(INDEX('I2020'!B$5:B$113,MATCH($C94,'I2020'!$A$5:$A$113,0)),"")</f>
        <v/>
      </c>
      <c r="BM94" s="102" t="str">
        <f>IFERROR(INDEX('I2020'!C$5:C$113,MATCH($C94,'I2020'!$A$5:$A$113,0)),"")</f>
        <v/>
      </c>
      <c r="BN94" s="102" t="str">
        <f>IFERROR(INDEX('I2020'!D$5:D$113,MATCH($C94,'I2020'!$A$5:$A$113,0)),"")</f>
        <v/>
      </c>
      <c r="BO94" s="102" t="str">
        <f>IFERROR(INDEX('I2020'!E$5:E$113,MATCH($C94,'I2020'!$A$5:$A$113,0)),"")</f>
        <v/>
      </c>
      <c r="BP94" s="102" t="str">
        <f>IFERROR(INDEX('I2020'!F$5:F$113,MATCH($C94,'I2020'!$A$5:$A$113,0)),"")</f>
        <v/>
      </c>
      <c r="BQ94" s="392" t="str">
        <f>IFERROR(INDEX('I2020'!G$5:G$113,MATCH($C94,'I2020'!$A$5:$A$113,0)),"")</f>
        <v/>
      </c>
      <c r="BR94" s="64"/>
      <c r="BS94" s="64"/>
      <c r="BT94" s="64"/>
      <c r="BU94" s="64"/>
      <c r="BV94" s="64"/>
      <c r="BW94" s="64"/>
      <c r="BX94" s="64"/>
      <c r="BY94" s="64"/>
      <c r="BZ94" s="64"/>
      <c r="CA94" s="64"/>
      <c r="CB94" s="64"/>
      <c r="CC94" s="64"/>
      <c r="CD94" s="64"/>
      <c r="CE94" s="64"/>
      <c r="CF94" s="64"/>
      <c r="CG94" s="64"/>
      <c r="CH94" s="64"/>
      <c r="CI94" s="124"/>
      <c r="CJ94" s="134"/>
    </row>
    <row r="95" spans="1:88" x14ac:dyDescent="0.3">
      <c r="A95" s="33"/>
      <c r="B95" s="68"/>
      <c r="C95" s="82" t="s">
        <v>257</v>
      </c>
      <c r="D95" s="100" t="str">
        <f>IFERROR(INDEX('I2015'!B$5:B$73,MATCH($C95,'I2015'!$A$5:$A$73,0)),"")</f>
        <v/>
      </c>
      <c r="E95" s="100" t="str">
        <f>IFERROR(INDEX('I2015'!C$5:C$73,MATCH($C95,'I2015'!$A$5:$A$73,0)),"")</f>
        <v/>
      </c>
      <c r="F95" s="100" t="str">
        <f>IFERROR(INDEX('I2015'!D$5:D$73,MATCH($C95,'I2015'!$A$5:$A$73,0)),"")</f>
        <v/>
      </c>
      <c r="G95" s="100" t="str">
        <f>IFERROR(INDEX('I2015'!E$5:E$73,MATCH($C95,'I2015'!$A$5:$A$73,0)),"")</f>
        <v/>
      </c>
      <c r="H95" s="100" t="str">
        <f>IFERROR(INDEX('I2015'!F$5:F$73,MATCH($C95,'I2015'!$A$5:$A$73,0)),"")</f>
        <v/>
      </c>
      <c r="I95" s="100" t="str">
        <f>IFERROR(INDEX('I2015'!G$5:G$73,MATCH($C95,'I2015'!$A$5:$A$73,0)),"")</f>
        <v/>
      </c>
      <c r="J95" s="100" t="str">
        <f>IFERROR(INDEX('I2015'!H$5:H$73,MATCH($C95,'I2015'!$A$5:$A$73,0)),"")</f>
        <v/>
      </c>
      <c r="K95" s="100" t="str">
        <f>IFERROR(INDEX('I2015'!I$5:I$73,MATCH($C95,'I2015'!$A$5:$A$73,0)),"")</f>
        <v/>
      </c>
      <c r="L95" s="100" t="str">
        <f>IFERROR(INDEX('I2015'!J$5:J$73,MATCH($C95,'I2015'!$A$5:$A$73,0)),"")</f>
        <v/>
      </c>
      <c r="M95" s="100" t="str">
        <f>IFERROR(INDEX('I2015'!K$5:K$73,MATCH($C95,'I2015'!$A$5:$A$73,0)),"")</f>
        <v/>
      </c>
      <c r="N95" s="100" t="str">
        <f>IFERROR(INDEX('I2015'!L$5:L$73,MATCH($C95,'I2015'!$A$5:$A$73,0)),"")</f>
        <v/>
      </c>
      <c r="O95" s="100" t="str">
        <f>IFERROR(INDEX('I2015'!M$5:M$73,MATCH($C95,'I2015'!$A$5:$A$73,0)),"")</f>
        <v/>
      </c>
      <c r="P95" s="100" t="str">
        <f>IFERROR(INDEX('I2016'!B$5:B$90,MATCH($C95,'I2016'!$A$5:$A$90,0)),"")</f>
        <v/>
      </c>
      <c r="Q95" s="100" t="str">
        <f>IFERROR(INDEX('I2016'!C$5:C$90,MATCH($C95,'I2016'!$A$5:$A$90,0)),"")</f>
        <v/>
      </c>
      <c r="R95" s="100" t="str">
        <f>IFERROR(INDEX('I2016'!D$5:D$90,MATCH($C95,'I2016'!$A$5:$A$90,0)),"")</f>
        <v/>
      </c>
      <c r="S95" s="100" t="str">
        <f>IFERROR(INDEX('I2016'!E$5:E$90,MATCH($C95,'I2016'!$A$5:$A$90,0)),"")</f>
        <v/>
      </c>
      <c r="T95" s="100" t="str">
        <f>IFERROR(INDEX('I2016'!F$5:F$90,MATCH($C95,'I2016'!$A$5:$A$90,0)),"")</f>
        <v/>
      </c>
      <c r="U95" s="100" t="str">
        <f>IFERROR(INDEX('I2016'!G$5:G$90,MATCH($C95,'I2016'!$A$5:$A$90,0)),"")</f>
        <v/>
      </c>
      <c r="V95" s="100" t="str">
        <f>IFERROR(INDEX('I2016'!H$5:H$90,MATCH($C95,'I2016'!$A$5:$A$90,0)),"")</f>
        <v/>
      </c>
      <c r="W95" s="100" t="str">
        <f>IFERROR(INDEX('I2016'!I$5:I$90,MATCH($C95,'I2016'!$A$5:$A$90,0)),"")</f>
        <v/>
      </c>
      <c r="X95" s="100" t="str">
        <f>IFERROR(INDEX('I2016'!J$5:J$90,MATCH($C95,'I2016'!$A$5:$A$90,0)),"")</f>
        <v/>
      </c>
      <c r="Y95" s="100" t="str">
        <f>IFERROR(INDEX('I2016'!K$5:K$90,MATCH($C95,'I2016'!$A$5:$A$90,0)),"")</f>
        <v/>
      </c>
      <c r="Z95" s="100" t="str">
        <f>IFERROR(INDEX('I2016'!L$5:L$90,MATCH($C95,'I2016'!$A$5:$A$90,0)),"")</f>
        <v/>
      </c>
      <c r="AA95" s="100" t="str">
        <f>IFERROR(INDEX('I2016'!M$5:M$90,MATCH($C95,'I2016'!$A$5:$A$90,0)),"")</f>
        <v/>
      </c>
      <c r="AB95" s="100" t="str">
        <f>IFERROR(INDEX('I2017'!B$5:B$96,MATCH($C95,'I2017'!$A$5:$A$96,0)),"")</f>
        <v/>
      </c>
      <c r="AC95" s="100" t="str">
        <f>IFERROR(INDEX('I2017'!C$5:C$96,MATCH($C95,'I2017'!$A$5:$A$96,0)),"")</f>
        <v/>
      </c>
      <c r="AD95" s="100" t="str">
        <f>IFERROR(INDEX('I2017'!D$5:D$96,MATCH($C95,'I2017'!$A$5:$A$96,0)),"")</f>
        <v/>
      </c>
      <c r="AE95" s="100" t="str">
        <f>IFERROR(INDEX('I2017'!E$5:E$96,MATCH($C95,'I2017'!$A$5:$A$96,0)),"")</f>
        <v/>
      </c>
      <c r="AF95" s="100" t="str">
        <f>IFERROR(INDEX('I2017'!F$5:F$96,MATCH($C95,'I2017'!$A$5:$A$96,0)),"")</f>
        <v/>
      </c>
      <c r="AG95" s="100" t="str">
        <f>IFERROR(INDEX('I2017'!G$5:G$96,MATCH($C95,'I2017'!$A$5:$A$96,0)),"")</f>
        <v/>
      </c>
      <c r="AH95" s="100" t="str">
        <f>IFERROR(INDEX('I2017'!H$5:H$96,MATCH($C95,'I2017'!$A$5:$A$96,0)),"")</f>
        <v/>
      </c>
      <c r="AI95" s="100" t="str">
        <f>IFERROR(INDEX('I2017'!I$5:I$96,MATCH($C95,'I2017'!$A$5:$A$96,0)),"")</f>
        <v/>
      </c>
      <c r="AJ95" s="100" t="str">
        <f>IFERROR(INDEX('I2017'!J$5:J$96,MATCH($C95,'I2017'!$A$5:$A$96,0)),"")</f>
        <v/>
      </c>
      <c r="AK95" s="100" t="str">
        <f>IFERROR(INDEX('I2017'!K$5:K$96,MATCH($C95,'I2017'!$A$5:$A$96,0)),"")</f>
        <v/>
      </c>
      <c r="AL95" s="100" t="str">
        <f>IFERROR(INDEX('I2017'!L$5:L$96,MATCH($C95,'I2017'!$A$5:$A$96,0)),"")</f>
        <v/>
      </c>
      <c r="AM95" s="100" t="str">
        <f>IFERROR(INDEX('I2017'!M$5:M$96,MATCH($C95,'I2017'!$A$5:$A$96,0)),"")</f>
        <v/>
      </c>
      <c r="AN95" s="100" t="str">
        <f>IFERROR(INDEX('I2018'!B$5:B$107,MATCH($C95,'I2018'!$A$5:$A$107,0)),"")</f>
        <v/>
      </c>
      <c r="AO95" s="100" t="str">
        <f>IFERROR(INDEX('I2018'!C$5:C$107,MATCH($C95,'I2018'!$A$5:$A$107,0)),"")</f>
        <v/>
      </c>
      <c r="AP95" s="100" t="str">
        <f>IFERROR(INDEX('I2018'!D$5:D$107,MATCH($C95,'I2018'!$A$5:$A$107,0)),"")</f>
        <v/>
      </c>
      <c r="AQ95" s="100" t="str">
        <f>IFERROR(INDEX('I2018'!E$5:E$107,MATCH($C95,'I2018'!$A$5:$A$107,0)),"")</f>
        <v/>
      </c>
      <c r="AR95" s="100" t="str">
        <f>IFERROR(INDEX('I2018'!F$5:F$107,MATCH($C95,'I2018'!$A$5:$A$107,0)),"")</f>
        <v/>
      </c>
      <c r="AS95" s="100" t="str">
        <f>IFERROR(INDEX('I2018'!G$5:G$107,MATCH($C95,'I2018'!$A$5:$A$107,0)),"")</f>
        <v/>
      </c>
      <c r="AT95" s="100" t="str">
        <f>IFERROR(INDEX('I2018'!H$5:H$107,MATCH($C95,'I2018'!$A$5:$A$107,0)),"")</f>
        <v/>
      </c>
      <c r="AU95" s="100" t="str">
        <f>IFERROR(INDEX('I2018'!I$5:I$107,MATCH($C95,'I2018'!$A$5:$A$107,0)),"")</f>
        <v/>
      </c>
      <c r="AV95" s="100" t="str">
        <f>IFERROR(INDEX('I2018'!J$5:J$107,MATCH($C95,'I2018'!$A$5:$A$107,0)),"")</f>
        <v/>
      </c>
      <c r="AW95" s="100" t="str">
        <f>IFERROR(INDEX('I2018'!K$5:K$107,MATCH($C95,'I2018'!$A$5:$A$107,0)),"")</f>
        <v/>
      </c>
      <c r="AX95" s="100" t="str">
        <f>IFERROR(INDEX('I2018'!L$5:L$107,MATCH($C95,'I2018'!$A$5:$A$107,0)),"")</f>
        <v/>
      </c>
      <c r="AY95" s="100" t="str">
        <f>IFERROR(INDEX('I2018'!M$5:M$107,MATCH($C95,'I2018'!$A$5:$A$107,0)),"")</f>
        <v/>
      </c>
      <c r="AZ95" s="100" t="str">
        <f>IFERROR(INDEX('I2019'!B$5:B$112,MATCH($C95,'I2019'!$A$5:$A$112,0)),"")</f>
        <v/>
      </c>
      <c r="BA95" s="100" t="str">
        <f>IFERROR(INDEX('I2019'!C$5:C$112,MATCH($C95,'I2019'!$A$5:$A$112,0)),"")</f>
        <v/>
      </c>
      <c r="BB95" s="100" t="str">
        <f>IFERROR(INDEX('I2019'!D$5:D$112,MATCH($C95,'I2019'!$A$5:$A$112,0)),"")</f>
        <v/>
      </c>
      <c r="BC95" s="100" t="str">
        <f>IFERROR(INDEX('I2019'!E$5:E$112,MATCH($C95,'I2019'!$A$5:$A$112,0)),"")</f>
        <v/>
      </c>
      <c r="BD95" s="100" t="str">
        <f>IFERROR(INDEX('I2019'!F$5:F$112,MATCH($C95,'I2019'!$A$5:$A$112,0)),"")</f>
        <v/>
      </c>
      <c r="BE95" s="100" t="str">
        <f>IFERROR(INDEX('I2019'!G$5:G$112,MATCH($C95,'I2019'!$A$5:$A$112,0)),"")</f>
        <v/>
      </c>
      <c r="BF95" s="100" t="str">
        <f>IFERROR(INDEX('I2019'!H$5:H$112,MATCH($C95,'I2019'!$A$5:$A$112,0)),"")</f>
        <v/>
      </c>
      <c r="BG95" s="100" t="str">
        <f>IFERROR(INDEX('I2019'!I$5:I$112,MATCH($C95,'I2019'!$A$5:$A$112,0)),"")</f>
        <v/>
      </c>
      <c r="BH95" s="100" t="str">
        <f>IFERROR(INDEX('I2019'!J$5:J$112,MATCH($C95,'I2019'!$A$5:$A$112,0)),"")</f>
        <v/>
      </c>
      <c r="BI95" s="100" t="str">
        <f>IFERROR(INDEX('I2019'!K$5:K$112,MATCH($C95,'I2019'!$A$5:$A$112,0)),"")</f>
        <v/>
      </c>
      <c r="BJ95" s="100" t="str">
        <f>IFERROR(INDEX('I2019'!L$5:L$112,MATCH($C95,'I2019'!$A$5:$A$112,0)),"")</f>
        <v/>
      </c>
      <c r="BK95" s="100" t="str">
        <f>IFERROR(INDEX('I2019'!M$5:M$112,MATCH($C95,'I2019'!$A$5:$A$112,0)),"")</f>
        <v/>
      </c>
      <c r="BL95" s="100" t="str">
        <f>IFERROR(INDEX('I2020'!B$5:B$113,MATCH($C95,'I2020'!$A$5:$A$113,0)),"")</f>
        <v/>
      </c>
      <c r="BM95" s="100" t="str">
        <f>IFERROR(INDEX('I2020'!C$5:C$113,MATCH($C95,'I2020'!$A$5:$A$113,0)),"")</f>
        <v/>
      </c>
      <c r="BN95" s="100" t="str">
        <f>IFERROR(INDEX('I2020'!D$5:D$113,MATCH($C95,'I2020'!$A$5:$A$113,0)),"")</f>
        <v/>
      </c>
      <c r="BO95" s="100" t="str">
        <f>IFERROR(INDEX('I2020'!E$5:E$113,MATCH($C95,'I2020'!$A$5:$A$113,0)),"")</f>
        <v/>
      </c>
      <c r="BP95" s="100" t="str">
        <f>IFERROR(INDEX('I2020'!F$5:F$113,MATCH($C95,'I2020'!$A$5:$A$113,0)),"")</f>
        <v/>
      </c>
      <c r="BQ95" s="395" t="str">
        <f>IFERROR(INDEX('I2020'!G$5:G$113,MATCH($C95,'I2020'!$A$5:$A$113,0)),"")</f>
        <v/>
      </c>
      <c r="BR95" s="148"/>
      <c r="BS95" s="148"/>
      <c r="BT95" s="148"/>
      <c r="BU95" s="148"/>
      <c r="BV95" s="148"/>
      <c r="BW95" s="148"/>
      <c r="BX95" s="148"/>
      <c r="BY95" s="148"/>
      <c r="BZ95" s="148"/>
      <c r="CA95" s="148"/>
      <c r="CB95" s="148"/>
      <c r="CC95" s="148"/>
      <c r="CD95" s="148"/>
      <c r="CE95" s="148"/>
      <c r="CF95" s="148"/>
      <c r="CG95" s="148"/>
      <c r="CH95" s="148"/>
      <c r="CI95" s="149"/>
      <c r="CJ95" s="134"/>
    </row>
    <row r="96" spans="1:88" x14ac:dyDescent="0.3">
      <c r="A96" s="33"/>
      <c r="B96" s="68"/>
      <c r="C96" s="21" t="s">
        <v>71</v>
      </c>
      <c r="D96" s="102">
        <f>IFERROR(INDEX('I2015'!B$5:B$73,MATCH($C96,'I2015'!$A$5:$A$73,0)),"")</f>
        <v>538.55999999999995</v>
      </c>
      <c r="E96" s="102">
        <f>IFERROR(INDEX('I2015'!C$5:C$73,MATCH($C96,'I2015'!$A$5:$A$73,0)),"")</f>
        <v>1140.57</v>
      </c>
      <c r="F96" s="102">
        <f>IFERROR(INDEX('I2015'!D$5:D$73,MATCH($C96,'I2015'!$A$5:$A$73,0)),"")</f>
        <v>3393.73</v>
      </c>
      <c r="G96" s="102">
        <f>IFERROR(INDEX('I2015'!E$5:E$73,MATCH($C96,'I2015'!$A$5:$A$73,0)),"")</f>
        <v>1882.69</v>
      </c>
      <c r="H96" s="102">
        <f>IFERROR(INDEX('I2015'!F$5:F$73,MATCH($C96,'I2015'!$A$5:$A$73,0)),"")</f>
        <v>2419.65</v>
      </c>
      <c r="I96" s="102">
        <f>IFERROR(INDEX('I2015'!G$5:G$73,MATCH($C96,'I2015'!$A$5:$A$73,0)),"")</f>
        <v>4548.2</v>
      </c>
      <c r="J96" s="102">
        <f>IFERROR(INDEX('I2015'!H$5:H$73,MATCH($C96,'I2015'!$A$5:$A$73,0)),"")</f>
        <v>4124.1499999999996</v>
      </c>
      <c r="K96" s="102">
        <f>IFERROR(INDEX('I2015'!I$5:I$73,MATCH($C96,'I2015'!$A$5:$A$73,0)),"")</f>
        <v>7221.1</v>
      </c>
      <c r="L96" s="102">
        <f>IFERROR(INDEX('I2015'!J$5:J$73,MATCH($C96,'I2015'!$A$5:$A$73,0)),"")</f>
        <v>5749.24</v>
      </c>
      <c r="M96" s="102">
        <f>IFERROR(INDEX('I2015'!K$5:K$73,MATCH($C96,'I2015'!$A$5:$A$73,0)),"")</f>
        <v>7923.03</v>
      </c>
      <c r="N96" s="102">
        <f>IFERROR(INDEX('I2015'!L$5:L$73,MATCH($C96,'I2015'!$A$5:$A$73,0)),"")</f>
        <v>11581.38</v>
      </c>
      <c r="O96" s="102">
        <f>IFERROR(INDEX('I2015'!M$5:M$73,MATCH($C96,'I2015'!$A$5:$A$73,0)),"")</f>
        <v>5251.45</v>
      </c>
      <c r="P96" s="102">
        <f>IFERROR(INDEX('I2016'!B$5:B$90,MATCH($C96,'I2016'!$A$5:$A$90,0)),"")</f>
        <v>0</v>
      </c>
      <c r="Q96" s="102">
        <f>IFERROR(INDEX('I2016'!C$5:C$90,MATCH($C96,'I2016'!$A$5:$A$90,0)),"")</f>
        <v>0</v>
      </c>
      <c r="R96" s="102">
        <f>IFERROR(INDEX('I2016'!D$5:D$90,MATCH($C96,'I2016'!$A$5:$A$90,0)),"")</f>
        <v>0</v>
      </c>
      <c r="S96" s="102">
        <f>IFERROR(INDEX('I2016'!E$5:E$90,MATCH($C96,'I2016'!$A$5:$A$90,0)),"")</f>
        <v>0</v>
      </c>
      <c r="T96" s="102">
        <f>IFERROR(INDEX('I2016'!F$5:F$90,MATCH($C96,'I2016'!$A$5:$A$90,0)),"")</f>
        <v>0</v>
      </c>
      <c r="U96" s="102">
        <f>IFERROR(INDEX('I2016'!G$5:G$90,MATCH($C96,'I2016'!$A$5:$A$90,0)),"")</f>
        <v>0</v>
      </c>
      <c r="V96" s="102">
        <f>IFERROR(INDEX('I2016'!H$5:H$90,MATCH($C96,'I2016'!$A$5:$A$90,0)),"")</f>
        <v>0</v>
      </c>
      <c r="W96" s="102">
        <f>IFERROR(INDEX('I2016'!I$5:I$90,MATCH($C96,'I2016'!$A$5:$A$90,0)),"")</f>
        <v>0</v>
      </c>
      <c r="X96" s="102">
        <f>IFERROR(INDEX('I2016'!J$5:J$90,MATCH($C96,'I2016'!$A$5:$A$90,0)),"")</f>
        <v>0</v>
      </c>
      <c r="Y96" s="102">
        <f>IFERROR(INDEX('I2016'!K$5:K$90,MATCH($C96,'I2016'!$A$5:$A$90,0)),"")</f>
        <v>0</v>
      </c>
      <c r="Z96" s="102">
        <f>IFERROR(INDEX('I2016'!L$5:L$90,MATCH($C96,'I2016'!$A$5:$A$90,0)),"")</f>
        <v>0</v>
      </c>
      <c r="AA96" s="102">
        <f>IFERROR(INDEX('I2016'!M$5:M$90,MATCH($C96,'I2016'!$A$5:$A$90,0)),"")</f>
        <v>0</v>
      </c>
      <c r="AB96" s="102">
        <f>IFERROR(INDEX('I2017'!B$5:B$96,MATCH($C96,'I2017'!$A$5:$A$96,0)),"")</f>
        <v>0</v>
      </c>
      <c r="AC96" s="102">
        <f>IFERROR(INDEX('I2017'!C$5:C$96,MATCH($C96,'I2017'!$A$5:$A$96,0)),"")</f>
        <v>0</v>
      </c>
      <c r="AD96" s="102">
        <f>IFERROR(INDEX('I2017'!D$5:D$96,MATCH($C96,'I2017'!$A$5:$A$96,0)),"")</f>
        <v>0</v>
      </c>
      <c r="AE96" s="102">
        <f>IFERROR(INDEX('I2017'!E$5:E$96,MATCH($C96,'I2017'!$A$5:$A$96,0)),"")</f>
        <v>0</v>
      </c>
      <c r="AF96" s="102">
        <f>IFERROR(INDEX('I2017'!F$5:F$96,MATCH($C96,'I2017'!$A$5:$A$96,0)),"")</f>
        <v>0</v>
      </c>
      <c r="AG96" s="102">
        <f>IFERROR(INDEX('I2017'!G$5:G$96,MATCH($C96,'I2017'!$A$5:$A$96,0)),"")</f>
        <v>0</v>
      </c>
      <c r="AH96" s="102">
        <f>IFERROR(INDEX('I2017'!H$5:H$96,MATCH($C96,'I2017'!$A$5:$A$96,0)),"")</f>
        <v>0</v>
      </c>
      <c r="AI96" s="102">
        <f>IFERROR(INDEX('I2017'!I$5:I$96,MATCH($C96,'I2017'!$A$5:$A$96,0)),"")</f>
        <v>0</v>
      </c>
      <c r="AJ96" s="102">
        <f>IFERROR(INDEX('I2017'!J$5:J$96,MATCH($C96,'I2017'!$A$5:$A$96,0)),"")</f>
        <v>0</v>
      </c>
      <c r="AK96" s="102">
        <f>IFERROR(INDEX('I2017'!K$5:K$96,MATCH($C96,'I2017'!$A$5:$A$96,0)),"")</f>
        <v>0</v>
      </c>
      <c r="AL96" s="102">
        <f>IFERROR(INDEX('I2017'!L$5:L$96,MATCH($C96,'I2017'!$A$5:$A$96,0)),"")</f>
        <v>0</v>
      </c>
      <c r="AM96" s="102">
        <f>IFERROR(INDEX('I2017'!M$5:M$96,MATCH($C96,'I2017'!$A$5:$A$96,0)),"")</f>
        <v>0</v>
      </c>
      <c r="AN96" s="102">
        <f>IFERROR(INDEX('I2018'!B$5:B$107,MATCH($C96,'I2018'!$A$5:$A$107,0)),"")</f>
        <v>0</v>
      </c>
      <c r="AO96" s="102">
        <f>IFERROR(INDEX('I2018'!C$5:C$107,MATCH($C96,'I2018'!$A$5:$A$107,0)),"")</f>
        <v>0</v>
      </c>
      <c r="AP96" s="102">
        <f>IFERROR(INDEX('I2018'!D$5:D$107,MATCH($C96,'I2018'!$A$5:$A$107,0)),"")</f>
        <v>0</v>
      </c>
      <c r="AQ96" s="102">
        <f>IFERROR(INDEX('I2018'!E$5:E$107,MATCH($C96,'I2018'!$A$5:$A$107,0)),"")</f>
        <v>0</v>
      </c>
      <c r="AR96" s="102">
        <f>IFERROR(INDEX('I2018'!F$5:F$107,MATCH($C96,'I2018'!$A$5:$A$107,0)),"")</f>
        <v>0</v>
      </c>
      <c r="AS96" s="102">
        <f>IFERROR(INDEX('I2018'!G$5:G$107,MATCH($C96,'I2018'!$A$5:$A$107,0)),"")</f>
        <v>0</v>
      </c>
      <c r="AT96" s="102">
        <f>IFERROR(INDEX('I2018'!H$5:H$107,MATCH($C96,'I2018'!$A$5:$A$107,0)),"")</f>
        <v>20772.3</v>
      </c>
      <c r="AU96" s="102">
        <f>IFERROR(INDEX('I2018'!I$5:I$107,MATCH($C96,'I2018'!$A$5:$A$107,0)),"")</f>
        <v>67551.14</v>
      </c>
      <c r="AV96" s="102">
        <f>IFERROR(INDEX('I2018'!J$5:J$107,MATCH($C96,'I2018'!$A$5:$A$107,0)),"")</f>
        <v>34121.1</v>
      </c>
      <c r="AW96" s="102">
        <f>IFERROR(INDEX('I2018'!K$5:K$107,MATCH($C96,'I2018'!$A$5:$A$107,0)),"")</f>
        <v>80908.44</v>
      </c>
      <c r="AX96" s="102">
        <f>IFERROR(INDEX('I2018'!L$5:L$107,MATCH($C96,'I2018'!$A$5:$A$107,0)),"")</f>
        <v>63538.19</v>
      </c>
      <c r="AY96" s="102">
        <f>IFERROR(INDEX('I2018'!M$5:M$107,MATCH($C96,'I2018'!$A$5:$A$107,0)),"")</f>
        <v>36543.9</v>
      </c>
      <c r="AZ96" s="102">
        <f>IFERROR(INDEX('I2019'!B$5:B$112,MATCH($C96,'I2019'!$A$5:$A$112,0)),"")</f>
        <v>27817.97</v>
      </c>
      <c r="BA96" s="102">
        <f>IFERROR(INDEX('I2019'!C$5:C$112,MATCH($C96,'I2019'!$A$5:$A$112,0)),"")</f>
        <v>37527.480000000003</v>
      </c>
      <c r="BB96" s="102">
        <f>IFERROR(INDEX('I2019'!D$5:D$112,MATCH($C96,'I2019'!$A$5:$A$112,0)),"")</f>
        <v>31594.82</v>
      </c>
      <c r="BC96" s="102">
        <f>IFERROR(INDEX('I2019'!E$5:E$112,MATCH($C96,'I2019'!$A$5:$A$112,0)),"")</f>
        <v>40128.85</v>
      </c>
      <c r="BD96" s="102">
        <f>IFERROR(INDEX('I2019'!F$5:F$112,MATCH($C96,'I2019'!$A$5:$A$112,0)),"")</f>
        <v>38838.379999999997</v>
      </c>
      <c r="BE96" s="102">
        <f>IFERROR(INDEX('I2019'!G$5:G$112,MATCH($C96,'I2019'!$A$5:$A$112,0)),"")</f>
        <v>0</v>
      </c>
      <c r="BF96" s="102">
        <f>IFERROR(INDEX('I2019'!H$5:H$112,MATCH($C96,'I2019'!$A$5:$A$112,0)),"")</f>
        <v>0</v>
      </c>
      <c r="BG96" s="102">
        <f>IFERROR(INDEX('I2019'!I$5:I$112,MATCH($C96,'I2019'!$A$5:$A$112,0)),"")</f>
        <v>0</v>
      </c>
      <c r="BH96" s="102">
        <f>IFERROR(INDEX('I2019'!J$5:J$112,MATCH($C96,'I2019'!$A$5:$A$112,0)),"")</f>
        <v>0</v>
      </c>
      <c r="BI96" s="102">
        <f>IFERROR(INDEX('I2019'!K$5:K$112,MATCH($C96,'I2019'!$A$5:$A$112,0)),"")</f>
        <v>0</v>
      </c>
      <c r="BJ96" s="102">
        <f>IFERROR(INDEX('I2019'!L$5:L$112,MATCH($C96,'I2019'!$A$5:$A$112,0)),"")</f>
        <v>0</v>
      </c>
      <c r="BK96" s="102">
        <f>IFERROR(INDEX('I2019'!M$5:M$112,MATCH($C96,'I2019'!$A$5:$A$112,0)),"")</f>
        <v>0</v>
      </c>
      <c r="BL96" s="102">
        <f>IFERROR(INDEX('I2020'!B$5:B$113,MATCH($C96,'I2020'!$A$5:$A$113,0)),"")</f>
        <v>0</v>
      </c>
      <c r="BM96" s="102">
        <f>IFERROR(INDEX('I2020'!C$5:C$113,MATCH($C96,'I2020'!$A$5:$A$113,0)),"")</f>
        <v>0</v>
      </c>
      <c r="BN96" s="102">
        <f>IFERROR(INDEX('I2020'!D$5:D$113,MATCH($C96,'I2020'!$A$5:$A$113,0)),"")</f>
        <v>0</v>
      </c>
      <c r="BO96" s="102">
        <f>IFERROR(INDEX('I2020'!E$5:E$113,MATCH($C96,'I2020'!$A$5:$A$113,0)),"")</f>
        <v>0</v>
      </c>
      <c r="BP96" s="102">
        <f>IFERROR(INDEX('I2020'!F$5:F$113,MATCH($C96,'I2020'!$A$5:$A$113,0)),"")</f>
        <v>2800</v>
      </c>
      <c r="BQ96" s="392">
        <f>IFERROR(INDEX('I2020'!G$5:G$113,MATCH($C96,'I2020'!$A$5:$A$113,0)),"")</f>
        <v>2800</v>
      </c>
      <c r="BR96" s="64"/>
      <c r="BS96" s="64"/>
      <c r="BT96" s="64"/>
      <c r="BU96" s="64"/>
      <c r="BV96" s="64"/>
      <c r="BW96" s="64"/>
      <c r="BX96" s="64"/>
      <c r="BY96" s="64"/>
      <c r="BZ96" s="64"/>
      <c r="CA96" s="64"/>
      <c r="CB96" s="64"/>
      <c r="CC96" s="64"/>
      <c r="CD96" s="64"/>
      <c r="CE96" s="64"/>
      <c r="CF96" s="64"/>
      <c r="CG96" s="64"/>
      <c r="CH96" s="64"/>
      <c r="CI96" s="124"/>
      <c r="CJ96" s="134"/>
    </row>
    <row r="97" spans="1:88" x14ac:dyDescent="0.3">
      <c r="A97" s="33"/>
      <c r="B97" s="68"/>
      <c r="C97" s="21" t="s">
        <v>184</v>
      </c>
      <c r="D97" s="102">
        <f>IFERROR(INDEX('I2015'!B$5:B$73,MATCH($C97,'I2015'!$A$5:$A$73,0)),"")</f>
        <v>0</v>
      </c>
      <c r="E97" s="102">
        <f>IFERROR(INDEX('I2015'!C$5:C$73,MATCH($C97,'I2015'!$A$5:$A$73,0)),"")</f>
        <v>0</v>
      </c>
      <c r="F97" s="102">
        <f>IFERROR(INDEX('I2015'!D$5:D$73,MATCH($C97,'I2015'!$A$5:$A$73,0)),"")</f>
        <v>297</v>
      </c>
      <c r="G97" s="102">
        <f>IFERROR(INDEX('I2015'!E$5:E$73,MATCH($C97,'I2015'!$A$5:$A$73,0)),"")</f>
        <v>0</v>
      </c>
      <c r="H97" s="102">
        <f>IFERROR(INDEX('I2015'!F$5:F$73,MATCH($C97,'I2015'!$A$5:$A$73,0)),"")</f>
        <v>0</v>
      </c>
      <c r="I97" s="102">
        <f>IFERROR(INDEX('I2015'!G$5:G$73,MATCH($C97,'I2015'!$A$5:$A$73,0)),"")</f>
        <v>0</v>
      </c>
      <c r="J97" s="102">
        <f>IFERROR(INDEX('I2015'!H$5:H$73,MATCH($C97,'I2015'!$A$5:$A$73,0)),"")</f>
        <v>0</v>
      </c>
      <c r="K97" s="102">
        <f>IFERROR(INDEX('I2015'!I$5:I$73,MATCH($C97,'I2015'!$A$5:$A$73,0)),"")</f>
        <v>0</v>
      </c>
      <c r="L97" s="102">
        <f>IFERROR(INDEX('I2015'!J$5:J$73,MATCH($C97,'I2015'!$A$5:$A$73,0)),"")</f>
        <v>0</v>
      </c>
      <c r="M97" s="102">
        <f>IFERROR(INDEX('I2015'!K$5:K$73,MATCH($C97,'I2015'!$A$5:$A$73,0)),"")</f>
        <v>10.5</v>
      </c>
      <c r="N97" s="102">
        <f>IFERROR(INDEX('I2015'!L$5:L$73,MATCH($C97,'I2015'!$A$5:$A$73,0)),"")</f>
        <v>31.5</v>
      </c>
      <c r="O97" s="102">
        <f>IFERROR(INDEX('I2015'!M$5:M$73,MATCH($C97,'I2015'!$A$5:$A$73,0)),"")</f>
        <v>477.2</v>
      </c>
      <c r="P97" s="102" t="str">
        <f>IFERROR(INDEX('I2016'!B$5:B$90,MATCH($C97,'I2016'!$A$5:$A$90,0)),"")</f>
        <v/>
      </c>
      <c r="Q97" s="102" t="str">
        <f>IFERROR(INDEX('I2016'!C$5:C$90,MATCH($C97,'I2016'!$A$5:$A$90,0)),"")</f>
        <v/>
      </c>
      <c r="R97" s="102" t="str">
        <f>IFERROR(INDEX('I2016'!D$5:D$90,MATCH($C97,'I2016'!$A$5:$A$90,0)),"")</f>
        <v/>
      </c>
      <c r="S97" s="102" t="str">
        <f>IFERROR(INDEX('I2016'!E$5:E$90,MATCH($C97,'I2016'!$A$5:$A$90,0)),"")</f>
        <v/>
      </c>
      <c r="T97" s="102" t="str">
        <f>IFERROR(INDEX('I2016'!F$5:F$90,MATCH($C97,'I2016'!$A$5:$A$90,0)),"")</f>
        <v/>
      </c>
      <c r="U97" s="102" t="str">
        <f>IFERROR(INDEX('I2016'!G$5:G$90,MATCH($C97,'I2016'!$A$5:$A$90,0)),"")</f>
        <v/>
      </c>
      <c r="V97" s="102" t="str">
        <f>IFERROR(INDEX('I2016'!H$5:H$90,MATCH($C97,'I2016'!$A$5:$A$90,0)),"")</f>
        <v/>
      </c>
      <c r="W97" s="102" t="str">
        <f>IFERROR(INDEX('I2016'!I$5:I$90,MATCH($C97,'I2016'!$A$5:$A$90,0)),"")</f>
        <v/>
      </c>
      <c r="X97" s="102" t="str">
        <f>IFERROR(INDEX('I2016'!J$5:J$90,MATCH($C97,'I2016'!$A$5:$A$90,0)),"")</f>
        <v/>
      </c>
      <c r="Y97" s="102" t="str">
        <f>IFERROR(INDEX('I2016'!K$5:K$90,MATCH($C97,'I2016'!$A$5:$A$90,0)),"")</f>
        <v/>
      </c>
      <c r="Z97" s="102" t="str">
        <f>IFERROR(INDEX('I2016'!L$5:L$90,MATCH($C97,'I2016'!$A$5:$A$90,0)),"")</f>
        <v/>
      </c>
      <c r="AA97" s="102" t="str">
        <f>IFERROR(INDEX('I2016'!M$5:M$90,MATCH($C97,'I2016'!$A$5:$A$90,0)),"")</f>
        <v/>
      </c>
      <c r="AB97" s="102" t="str">
        <f>IFERROR(INDEX('I2017'!B$5:B$96,MATCH($C97,'I2017'!$A$5:$A$96,0)),"")</f>
        <v/>
      </c>
      <c r="AC97" s="102" t="str">
        <f>IFERROR(INDEX('I2017'!C$5:C$96,MATCH($C97,'I2017'!$A$5:$A$96,0)),"")</f>
        <v/>
      </c>
      <c r="AD97" s="102" t="str">
        <f>IFERROR(INDEX('I2017'!D$5:D$96,MATCH($C97,'I2017'!$A$5:$A$96,0)),"")</f>
        <v/>
      </c>
      <c r="AE97" s="102" t="str">
        <f>IFERROR(INDEX('I2017'!E$5:E$96,MATCH($C97,'I2017'!$A$5:$A$96,0)),"")</f>
        <v/>
      </c>
      <c r="AF97" s="102" t="str">
        <f>IFERROR(INDEX('I2017'!F$5:F$96,MATCH($C97,'I2017'!$A$5:$A$96,0)),"")</f>
        <v/>
      </c>
      <c r="AG97" s="102" t="str">
        <f>IFERROR(INDEX('I2017'!G$5:G$96,MATCH($C97,'I2017'!$A$5:$A$96,0)),"")</f>
        <v/>
      </c>
      <c r="AH97" s="102" t="str">
        <f>IFERROR(INDEX('I2017'!H$5:H$96,MATCH($C97,'I2017'!$A$5:$A$96,0)),"")</f>
        <v/>
      </c>
      <c r="AI97" s="102" t="str">
        <f>IFERROR(INDEX('I2017'!I$5:I$96,MATCH($C97,'I2017'!$A$5:$A$96,0)),"")</f>
        <v/>
      </c>
      <c r="AJ97" s="102" t="str">
        <f>IFERROR(INDEX('I2017'!J$5:J$96,MATCH($C97,'I2017'!$A$5:$A$96,0)),"")</f>
        <v/>
      </c>
      <c r="AK97" s="102" t="str">
        <f>IFERROR(INDEX('I2017'!K$5:K$96,MATCH($C97,'I2017'!$A$5:$A$96,0)),"")</f>
        <v/>
      </c>
      <c r="AL97" s="102" t="str">
        <f>IFERROR(INDEX('I2017'!L$5:L$96,MATCH($C97,'I2017'!$A$5:$A$96,0)),"")</f>
        <v/>
      </c>
      <c r="AM97" s="102" t="str">
        <f>IFERROR(INDEX('I2017'!M$5:M$96,MATCH($C97,'I2017'!$A$5:$A$96,0)),"")</f>
        <v/>
      </c>
      <c r="AN97" s="102" t="str">
        <f>IFERROR(INDEX('I2018'!B$5:B$107,MATCH($C97,'I2018'!$A$5:$A$107,0)),"")</f>
        <v/>
      </c>
      <c r="AO97" s="102" t="str">
        <f>IFERROR(INDEX('I2018'!C$5:C$107,MATCH($C97,'I2018'!$A$5:$A$107,0)),"")</f>
        <v/>
      </c>
      <c r="AP97" s="102" t="str">
        <f>IFERROR(INDEX('I2018'!D$5:D$107,MATCH($C97,'I2018'!$A$5:$A$107,0)),"")</f>
        <v/>
      </c>
      <c r="AQ97" s="102" t="str">
        <f>IFERROR(INDEX('I2018'!E$5:E$107,MATCH($C97,'I2018'!$A$5:$A$107,0)),"")</f>
        <v/>
      </c>
      <c r="AR97" s="102" t="str">
        <f>IFERROR(INDEX('I2018'!F$5:F$107,MATCH($C97,'I2018'!$A$5:$A$107,0)),"")</f>
        <v/>
      </c>
      <c r="AS97" s="102" t="str">
        <f>IFERROR(INDEX('I2018'!G$5:G$107,MATCH($C97,'I2018'!$A$5:$A$107,0)),"")</f>
        <v/>
      </c>
      <c r="AT97" s="102" t="str">
        <f>IFERROR(INDEX('I2018'!H$5:H$107,MATCH($C97,'I2018'!$A$5:$A$107,0)),"")</f>
        <v/>
      </c>
      <c r="AU97" s="102" t="str">
        <f>IFERROR(INDEX('I2018'!I$5:I$107,MATCH($C97,'I2018'!$A$5:$A$107,0)),"")</f>
        <v/>
      </c>
      <c r="AV97" s="102" t="str">
        <f>IFERROR(INDEX('I2018'!J$5:J$107,MATCH($C97,'I2018'!$A$5:$A$107,0)),"")</f>
        <v/>
      </c>
      <c r="AW97" s="102" t="str">
        <f>IFERROR(INDEX('I2018'!K$5:K$107,MATCH($C97,'I2018'!$A$5:$A$107,0)),"")</f>
        <v/>
      </c>
      <c r="AX97" s="102" t="str">
        <f>IFERROR(INDEX('I2018'!L$5:L$107,MATCH($C97,'I2018'!$A$5:$A$107,0)),"")</f>
        <v/>
      </c>
      <c r="AY97" s="102" t="str">
        <f>IFERROR(INDEX('I2018'!M$5:M$107,MATCH($C97,'I2018'!$A$5:$A$107,0)),"")</f>
        <v/>
      </c>
      <c r="AZ97" s="102" t="str">
        <f>IFERROR(INDEX('I2019'!B$5:B$112,MATCH($C97,'I2019'!$A$5:$A$112,0)),"")</f>
        <v/>
      </c>
      <c r="BA97" s="102" t="str">
        <f>IFERROR(INDEX('I2019'!C$5:C$112,MATCH($C97,'I2019'!$A$5:$A$112,0)),"")</f>
        <v/>
      </c>
      <c r="BB97" s="102" t="str">
        <f>IFERROR(INDEX('I2019'!D$5:D$112,MATCH($C97,'I2019'!$A$5:$A$112,0)),"")</f>
        <v/>
      </c>
      <c r="BC97" s="102" t="str">
        <f>IFERROR(INDEX('I2019'!E$5:E$112,MATCH($C97,'I2019'!$A$5:$A$112,0)),"")</f>
        <v/>
      </c>
      <c r="BD97" s="102" t="str">
        <f>IFERROR(INDEX('I2019'!F$5:F$112,MATCH($C97,'I2019'!$A$5:$A$112,0)),"")</f>
        <v/>
      </c>
      <c r="BE97" s="102" t="str">
        <f>IFERROR(INDEX('I2019'!G$5:G$112,MATCH($C97,'I2019'!$A$5:$A$112,0)),"")</f>
        <v/>
      </c>
      <c r="BF97" s="102" t="str">
        <f>IFERROR(INDEX('I2019'!H$5:H$112,MATCH($C97,'I2019'!$A$5:$A$112,0)),"")</f>
        <v/>
      </c>
      <c r="BG97" s="102" t="str">
        <f>IFERROR(INDEX('I2019'!I$5:I$112,MATCH($C97,'I2019'!$A$5:$A$112,0)),"")</f>
        <v/>
      </c>
      <c r="BH97" s="102" t="str">
        <f>IFERROR(INDEX('I2019'!J$5:J$112,MATCH($C97,'I2019'!$A$5:$A$112,0)),"")</f>
        <v/>
      </c>
      <c r="BI97" s="102" t="str">
        <f>IFERROR(INDEX('I2019'!K$5:K$112,MATCH($C97,'I2019'!$A$5:$A$112,0)),"")</f>
        <v/>
      </c>
      <c r="BJ97" s="102" t="str">
        <f>IFERROR(INDEX('I2019'!L$5:L$112,MATCH($C97,'I2019'!$A$5:$A$112,0)),"")</f>
        <v/>
      </c>
      <c r="BK97" s="102" t="str">
        <f>IFERROR(INDEX('I2019'!M$5:M$112,MATCH($C97,'I2019'!$A$5:$A$112,0)),"")</f>
        <v/>
      </c>
      <c r="BL97" s="102" t="str">
        <f>IFERROR(INDEX('I2020'!B$5:B$113,MATCH($C97,'I2020'!$A$5:$A$113,0)),"")</f>
        <v/>
      </c>
      <c r="BM97" s="102" t="str">
        <f>IFERROR(INDEX('I2020'!C$5:C$113,MATCH($C97,'I2020'!$A$5:$A$113,0)),"")</f>
        <v/>
      </c>
      <c r="BN97" s="102" t="str">
        <f>IFERROR(INDEX('I2020'!D$5:D$113,MATCH($C97,'I2020'!$A$5:$A$113,0)),"")</f>
        <v/>
      </c>
      <c r="BO97" s="102" t="str">
        <f>IFERROR(INDEX('I2020'!E$5:E$113,MATCH($C97,'I2020'!$A$5:$A$113,0)),"")</f>
        <v/>
      </c>
      <c r="BP97" s="102" t="str">
        <f>IFERROR(INDEX('I2020'!F$5:F$113,MATCH($C97,'I2020'!$A$5:$A$113,0)),"")</f>
        <v/>
      </c>
      <c r="BQ97" s="392" t="str">
        <f>IFERROR(INDEX('I2020'!G$5:G$113,MATCH($C97,'I2020'!$A$5:$A$113,0)),"")</f>
        <v/>
      </c>
      <c r="BR97" s="64"/>
      <c r="BS97" s="64"/>
      <c r="BT97" s="64"/>
      <c r="BU97" s="64"/>
      <c r="BV97" s="64"/>
      <c r="BW97" s="64"/>
      <c r="BX97" s="64"/>
      <c r="BY97" s="64"/>
      <c r="BZ97" s="64"/>
      <c r="CA97" s="64"/>
      <c r="CB97" s="64"/>
      <c r="CC97" s="64"/>
      <c r="CD97" s="64"/>
      <c r="CE97" s="64"/>
      <c r="CF97" s="64"/>
      <c r="CG97" s="64"/>
      <c r="CH97" s="64"/>
      <c r="CI97" s="124"/>
      <c r="CJ97" s="134"/>
    </row>
    <row r="98" spans="1:88" x14ac:dyDescent="0.3">
      <c r="A98" s="33"/>
      <c r="B98" s="68"/>
      <c r="C98" s="21" t="s">
        <v>185</v>
      </c>
      <c r="D98" s="102">
        <f>IFERROR(INDEX('I2015'!B$5:B$73,MATCH($C98,'I2015'!$A$5:$A$73,0)),"")</f>
        <v>0</v>
      </c>
      <c r="E98" s="102">
        <f>IFERROR(INDEX('I2015'!C$5:C$73,MATCH($C98,'I2015'!$A$5:$A$73,0)),"")</f>
        <v>0</v>
      </c>
      <c r="F98" s="102">
        <f>IFERROR(INDEX('I2015'!D$5:D$73,MATCH($C98,'I2015'!$A$5:$A$73,0)),"")</f>
        <v>25</v>
      </c>
      <c r="G98" s="102">
        <f>IFERROR(INDEX('I2015'!E$5:E$73,MATCH($C98,'I2015'!$A$5:$A$73,0)),"")</f>
        <v>5.54</v>
      </c>
      <c r="H98" s="102">
        <f>IFERROR(INDEX('I2015'!F$5:F$73,MATCH($C98,'I2015'!$A$5:$A$73,0)),"")</f>
        <v>19.989999999999998</v>
      </c>
      <c r="I98" s="102">
        <f>IFERROR(INDEX('I2015'!G$5:G$73,MATCH($C98,'I2015'!$A$5:$A$73,0)),"")</f>
        <v>0</v>
      </c>
      <c r="J98" s="102">
        <f>IFERROR(INDEX('I2015'!H$5:H$73,MATCH($C98,'I2015'!$A$5:$A$73,0)),"")</f>
        <v>0</v>
      </c>
      <c r="K98" s="102">
        <f>IFERROR(INDEX('I2015'!I$5:I$73,MATCH($C98,'I2015'!$A$5:$A$73,0)),"")</f>
        <v>0</v>
      </c>
      <c r="L98" s="102">
        <f>IFERROR(INDEX('I2015'!J$5:J$73,MATCH($C98,'I2015'!$A$5:$A$73,0)),"")</f>
        <v>0</v>
      </c>
      <c r="M98" s="102">
        <f>IFERROR(INDEX('I2015'!K$5:K$73,MATCH($C98,'I2015'!$A$5:$A$73,0)),"")</f>
        <v>10</v>
      </c>
      <c r="N98" s="102">
        <f>IFERROR(INDEX('I2015'!L$5:L$73,MATCH($C98,'I2015'!$A$5:$A$73,0)),"")</f>
        <v>88.06</v>
      </c>
      <c r="O98" s="102">
        <f>IFERROR(INDEX('I2015'!M$5:M$73,MATCH($C98,'I2015'!$A$5:$A$73,0)),"")</f>
        <v>0</v>
      </c>
      <c r="P98" s="102" t="str">
        <f>IFERROR(INDEX('I2016'!B$5:B$90,MATCH($C98,'I2016'!$A$5:$A$90,0)),"")</f>
        <v/>
      </c>
      <c r="Q98" s="102" t="str">
        <f>IFERROR(INDEX('I2016'!C$5:C$90,MATCH($C98,'I2016'!$A$5:$A$90,0)),"")</f>
        <v/>
      </c>
      <c r="R98" s="102" t="str">
        <f>IFERROR(INDEX('I2016'!D$5:D$90,MATCH($C98,'I2016'!$A$5:$A$90,0)),"")</f>
        <v/>
      </c>
      <c r="S98" s="102" t="str">
        <f>IFERROR(INDEX('I2016'!E$5:E$90,MATCH($C98,'I2016'!$A$5:$A$90,0)),"")</f>
        <v/>
      </c>
      <c r="T98" s="102" t="str">
        <f>IFERROR(INDEX('I2016'!F$5:F$90,MATCH($C98,'I2016'!$A$5:$A$90,0)),"")</f>
        <v/>
      </c>
      <c r="U98" s="102" t="str">
        <f>IFERROR(INDEX('I2016'!G$5:G$90,MATCH($C98,'I2016'!$A$5:$A$90,0)),"")</f>
        <v/>
      </c>
      <c r="V98" s="102" t="str">
        <f>IFERROR(INDEX('I2016'!H$5:H$90,MATCH($C98,'I2016'!$A$5:$A$90,0)),"")</f>
        <v/>
      </c>
      <c r="W98" s="102" t="str">
        <f>IFERROR(INDEX('I2016'!I$5:I$90,MATCH($C98,'I2016'!$A$5:$A$90,0)),"")</f>
        <v/>
      </c>
      <c r="X98" s="102" t="str">
        <f>IFERROR(INDEX('I2016'!J$5:J$90,MATCH($C98,'I2016'!$A$5:$A$90,0)),"")</f>
        <v/>
      </c>
      <c r="Y98" s="102" t="str">
        <f>IFERROR(INDEX('I2016'!K$5:K$90,MATCH($C98,'I2016'!$A$5:$A$90,0)),"")</f>
        <v/>
      </c>
      <c r="Z98" s="102" t="str">
        <f>IFERROR(INDEX('I2016'!L$5:L$90,MATCH($C98,'I2016'!$A$5:$A$90,0)),"")</f>
        <v/>
      </c>
      <c r="AA98" s="102" t="str">
        <f>IFERROR(INDEX('I2016'!M$5:M$90,MATCH($C98,'I2016'!$A$5:$A$90,0)),"")</f>
        <v/>
      </c>
      <c r="AB98" s="102" t="str">
        <f>IFERROR(INDEX('I2017'!B$5:B$96,MATCH($C98,'I2017'!$A$5:$A$96,0)),"")</f>
        <v/>
      </c>
      <c r="AC98" s="102" t="str">
        <f>IFERROR(INDEX('I2017'!C$5:C$96,MATCH($C98,'I2017'!$A$5:$A$96,0)),"")</f>
        <v/>
      </c>
      <c r="AD98" s="102" t="str">
        <f>IFERROR(INDEX('I2017'!D$5:D$96,MATCH($C98,'I2017'!$A$5:$A$96,0)),"")</f>
        <v/>
      </c>
      <c r="AE98" s="102" t="str">
        <f>IFERROR(INDEX('I2017'!E$5:E$96,MATCH($C98,'I2017'!$A$5:$A$96,0)),"")</f>
        <v/>
      </c>
      <c r="AF98" s="102" t="str">
        <f>IFERROR(INDEX('I2017'!F$5:F$96,MATCH($C98,'I2017'!$A$5:$A$96,0)),"")</f>
        <v/>
      </c>
      <c r="AG98" s="102" t="str">
        <f>IFERROR(INDEX('I2017'!G$5:G$96,MATCH($C98,'I2017'!$A$5:$A$96,0)),"")</f>
        <v/>
      </c>
      <c r="AH98" s="102" t="str">
        <f>IFERROR(INDEX('I2017'!H$5:H$96,MATCH($C98,'I2017'!$A$5:$A$96,0)),"")</f>
        <v/>
      </c>
      <c r="AI98" s="102" t="str">
        <f>IFERROR(INDEX('I2017'!I$5:I$96,MATCH($C98,'I2017'!$A$5:$A$96,0)),"")</f>
        <v/>
      </c>
      <c r="AJ98" s="102" t="str">
        <f>IFERROR(INDEX('I2017'!J$5:J$96,MATCH($C98,'I2017'!$A$5:$A$96,0)),"")</f>
        <v/>
      </c>
      <c r="AK98" s="102" t="str">
        <f>IFERROR(INDEX('I2017'!K$5:K$96,MATCH($C98,'I2017'!$A$5:$A$96,0)),"")</f>
        <v/>
      </c>
      <c r="AL98" s="102" t="str">
        <f>IFERROR(INDEX('I2017'!L$5:L$96,MATCH($C98,'I2017'!$A$5:$A$96,0)),"")</f>
        <v/>
      </c>
      <c r="AM98" s="102" t="str">
        <f>IFERROR(INDEX('I2017'!M$5:M$96,MATCH($C98,'I2017'!$A$5:$A$96,0)),"")</f>
        <v/>
      </c>
      <c r="AN98" s="102" t="str">
        <f>IFERROR(INDEX('I2018'!B$5:B$107,MATCH($C98,'I2018'!$A$5:$A$107,0)),"")</f>
        <v/>
      </c>
      <c r="AO98" s="102" t="str">
        <f>IFERROR(INDEX('I2018'!C$5:C$107,MATCH($C98,'I2018'!$A$5:$A$107,0)),"")</f>
        <v/>
      </c>
      <c r="AP98" s="102" t="str">
        <f>IFERROR(INDEX('I2018'!D$5:D$107,MATCH($C98,'I2018'!$A$5:$A$107,0)),"")</f>
        <v/>
      </c>
      <c r="AQ98" s="102" t="str">
        <f>IFERROR(INDEX('I2018'!E$5:E$107,MATCH($C98,'I2018'!$A$5:$A$107,0)),"")</f>
        <v/>
      </c>
      <c r="AR98" s="102" t="str">
        <f>IFERROR(INDEX('I2018'!F$5:F$107,MATCH($C98,'I2018'!$A$5:$A$107,0)),"")</f>
        <v/>
      </c>
      <c r="AS98" s="102" t="str">
        <f>IFERROR(INDEX('I2018'!G$5:G$107,MATCH($C98,'I2018'!$A$5:$A$107,0)),"")</f>
        <v/>
      </c>
      <c r="AT98" s="102" t="str">
        <f>IFERROR(INDEX('I2018'!H$5:H$107,MATCH($C98,'I2018'!$A$5:$A$107,0)),"")</f>
        <v/>
      </c>
      <c r="AU98" s="102" t="str">
        <f>IFERROR(INDEX('I2018'!I$5:I$107,MATCH($C98,'I2018'!$A$5:$A$107,0)),"")</f>
        <v/>
      </c>
      <c r="AV98" s="102" t="str">
        <f>IFERROR(INDEX('I2018'!J$5:J$107,MATCH($C98,'I2018'!$A$5:$A$107,0)),"")</f>
        <v/>
      </c>
      <c r="AW98" s="102" t="str">
        <f>IFERROR(INDEX('I2018'!K$5:K$107,MATCH($C98,'I2018'!$A$5:$A$107,0)),"")</f>
        <v/>
      </c>
      <c r="AX98" s="102" t="str">
        <f>IFERROR(INDEX('I2018'!L$5:L$107,MATCH($C98,'I2018'!$A$5:$A$107,0)),"")</f>
        <v/>
      </c>
      <c r="AY98" s="102" t="str">
        <f>IFERROR(INDEX('I2018'!M$5:M$107,MATCH($C98,'I2018'!$A$5:$A$107,0)),"")</f>
        <v/>
      </c>
      <c r="AZ98" s="102" t="str">
        <f>IFERROR(INDEX('I2019'!B$5:B$112,MATCH($C98,'I2019'!$A$5:$A$112,0)),"")</f>
        <v/>
      </c>
      <c r="BA98" s="102" t="str">
        <f>IFERROR(INDEX('I2019'!C$5:C$112,MATCH($C98,'I2019'!$A$5:$A$112,0)),"")</f>
        <v/>
      </c>
      <c r="BB98" s="102" t="str">
        <f>IFERROR(INDEX('I2019'!D$5:D$112,MATCH($C98,'I2019'!$A$5:$A$112,0)),"")</f>
        <v/>
      </c>
      <c r="BC98" s="102" t="str">
        <f>IFERROR(INDEX('I2019'!E$5:E$112,MATCH($C98,'I2019'!$A$5:$A$112,0)),"")</f>
        <v/>
      </c>
      <c r="BD98" s="102" t="str">
        <f>IFERROR(INDEX('I2019'!F$5:F$112,MATCH($C98,'I2019'!$A$5:$A$112,0)),"")</f>
        <v/>
      </c>
      <c r="BE98" s="102" t="str">
        <f>IFERROR(INDEX('I2019'!G$5:G$112,MATCH($C98,'I2019'!$A$5:$A$112,0)),"")</f>
        <v/>
      </c>
      <c r="BF98" s="102" t="str">
        <f>IFERROR(INDEX('I2019'!H$5:H$112,MATCH($C98,'I2019'!$A$5:$A$112,0)),"")</f>
        <v/>
      </c>
      <c r="BG98" s="102" t="str">
        <f>IFERROR(INDEX('I2019'!I$5:I$112,MATCH($C98,'I2019'!$A$5:$A$112,0)),"")</f>
        <v/>
      </c>
      <c r="BH98" s="102" t="str">
        <f>IFERROR(INDEX('I2019'!J$5:J$112,MATCH($C98,'I2019'!$A$5:$A$112,0)),"")</f>
        <v/>
      </c>
      <c r="BI98" s="102" t="str">
        <f>IFERROR(INDEX('I2019'!K$5:K$112,MATCH($C98,'I2019'!$A$5:$A$112,0)),"")</f>
        <v/>
      </c>
      <c r="BJ98" s="102" t="str">
        <f>IFERROR(INDEX('I2019'!L$5:L$112,MATCH($C98,'I2019'!$A$5:$A$112,0)),"")</f>
        <v/>
      </c>
      <c r="BK98" s="102" t="str">
        <f>IFERROR(INDEX('I2019'!M$5:M$112,MATCH($C98,'I2019'!$A$5:$A$112,0)),"")</f>
        <v/>
      </c>
      <c r="BL98" s="102" t="str">
        <f>IFERROR(INDEX('I2020'!B$5:B$113,MATCH($C98,'I2020'!$A$5:$A$113,0)),"")</f>
        <v/>
      </c>
      <c r="BM98" s="102" t="str">
        <f>IFERROR(INDEX('I2020'!C$5:C$113,MATCH($C98,'I2020'!$A$5:$A$113,0)),"")</f>
        <v/>
      </c>
      <c r="BN98" s="102" t="str">
        <f>IFERROR(INDEX('I2020'!D$5:D$113,MATCH($C98,'I2020'!$A$5:$A$113,0)),"")</f>
        <v/>
      </c>
      <c r="BO98" s="102" t="str">
        <f>IFERROR(INDEX('I2020'!E$5:E$113,MATCH($C98,'I2020'!$A$5:$A$113,0)),"")</f>
        <v/>
      </c>
      <c r="BP98" s="102" t="str">
        <f>IFERROR(INDEX('I2020'!F$5:F$113,MATCH($C98,'I2020'!$A$5:$A$113,0)),"")</f>
        <v/>
      </c>
      <c r="BQ98" s="392" t="str">
        <f>IFERROR(INDEX('I2020'!G$5:G$113,MATCH($C98,'I2020'!$A$5:$A$113,0)),"")</f>
        <v/>
      </c>
      <c r="BR98" s="64"/>
      <c r="BS98" s="64"/>
      <c r="BT98" s="64"/>
      <c r="BU98" s="64"/>
      <c r="BV98" s="64"/>
      <c r="BW98" s="64"/>
      <c r="BX98" s="64"/>
      <c r="BY98" s="64"/>
      <c r="BZ98" s="64"/>
      <c r="CA98" s="64"/>
      <c r="CB98" s="64"/>
      <c r="CC98" s="64"/>
      <c r="CD98" s="64"/>
      <c r="CE98" s="64"/>
      <c r="CF98" s="64"/>
      <c r="CG98" s="64"/>
      <c r="CH98" s="64"/>
      <c r="CI98" s="124"/>
      <c r="CJ98" s="134"/>
    </row>
    <row r="99" spans="1:88" x14ac:dyDescent="0.3">
      <c r="A99" s="33"/>
      <c r="B99" s="68"/>
      <c r="C99" s="21" t="s">
        <v>72</v>
      </c>
      <c r="D99" s="102" t="str">
        <f>IFERROR(INDEX('I2015'!B$5:B$73,MATCH($C99,'I2015'!$A$5:$A$73,0)),"")</f>
        <v/>
      </c>
      <c r="E99" s="102" t="str">
        <f>IFERROR(INDEX('I2015'!C$5:C$73,MATCH($C99,'I2015'!$A$5:$A$73,0)),"")</f>
        <v/>
      </c>
      <c r="F99" s="102" t="str">
        <f>IFERROR(INDEX('I2015'!D$5:D$73,MATCH($C99,'I2015'!$A$5:$A$73,0)),"")</f>
        <v/>
      </c>
      <c r="G99" s="102" t="str">
        <f>IFERROR(INDEX('I2015'!E$5:E$73,MATCH($C99,'I2015'!$A$5:$A$73,0)),"")</f>
        <v/>
      </c>
      <c r="H99" s="102" t="str">
        <f>IFERROR(INDEX('I2015'!F$5:F$73,MATCH($C99,'I2015'!$A$5:$A$73,0)),"")</f>
        <v/>
      </c>
      <c r="I99" s="102" t="str">
        <f>IFERROR(INDEX('I2015'!G$5:G$73,MATCH($C99,'I2015'!$A$5:$A$73,0)),"")</f>
        <v/>
      </c>
      <c r="J99" s="102" t="str">
        <f>IFERROR(INDEX('I2015'!H$5:H$73,MATCH($C99,'I2015'!$A$5:$A$73,0)),"")</f>
        <v/>
      </c>
      <c r="K99" s="102" t="str">
        <f>IFERROR(INDEX('I2015'!I$5:I$73,MATCH($C99,'I2015'!$A$5:$A$73,0)),"")</f>
        <v/>
      </c>
      <c r="L99" s="102" t="str">
        <f>IFERROR(INDEX('I2015'!J$5:J$73,MATCH($C99,'I2015'!$A$5:$A$73,0)),"")</f>
        <v/>
      </c>
      <c r="M99" s="102" t="str">
        <f>IFERROR(INDEX('I2015'!K$5:K$73,MATCH($C99,'I2015'!$A$5:$A$73,0)),"")</f>
        <v/>
      </c>
      <c r="N99" s="102" t="str">
        <f>IFERROR(INDEX('I2015'!L$5:L$73,MATCH($C99,'I2015'!$A$5:$A$73,0)),"")</f>
        <v/>
      </c>
      <c r="O99" s="102" t="str">
        <f>IFERROR(INDEX('I2015'!M$5:M$73,MATCH($C99,'I2015'!$A$5:$A$73,0)),"")</f>
        <v/>
      </c>
      <c r="P99" s="102" t="str">
        <f>IFERROR(INDEX('I2016'!B$5:B$90,MATCH($C99,'I2016'!$A$5:$A$90,0)),"")</f>
        <v/>
      </c>
      <c r="Q99" s="102" t="str">
        <f>IFERROR(INDEX('I2016'!C$5:C$90,MATCH($C99,'I2016'!$A$5:$A$90,0)),"")</f>
        <v/>
      </c>
      <c r="R99" s="102" t="str">
        <f>IFERROR(INDEX('I2016'!D$5:D$90,MATCH($C99,'I2016'!$A$5:$A$90,0)),"")</f>
        <v/>
      </c>
      <c r="S99" s="102" t="str">
        <f>IFERROR(INDEX('I2016'!E$5:E$90,MATCH($C99,'I2016'!$A$5:$A$90,0)),"")</f>
        <v/>
      </c>
      <c r="T99" s="102" t="str">
        <f>IFERROR(INDEX('I2016'!F$5:F$90,MATCH($C99,'I2016'!$A$5:$A$90,0)),"")</f>
        <v/>
      </c>
      <c r="U99" s="102" t="str">
        <f>IFERROR(INDEX('I2016'!G$5:G$90,MATCH($C99,'I2016'!$A$5:$A$90,0)),"")</f>
        <v/>
      </c>
      <c r="V99" s="102" t="str">
        <f>IFERROR(INDEX('I2016'!H$5:H$90,MATCH($C99,'I2016'!$A$5:$A$90,0)),"")</f>
        <v/>
      </c>
      <c r="W99" s="102" t="str">
        <f>IFERROR(INDEX('I2016'!I$5:I$90,MATCH($C99,'I2016'!$A$5:$A$90,0)),"")</f>
        <v/>
      </c>
      <c r="X99" s="102" t="str">
        <f>IFERROR(INDEX('I2016'!J$5:J$90,MATCH($C99,'I2016'!$A$5:$A$90,0)),"")</f>
        <v/>
      </c>
      <c r="Y99" s="102" t="str">
        <f>IFERROR(INDEX('I2016'!K$5:K$90,MATCH($C99,'I2016'!$A$5:$A$90,0)),"")</f>
        <v/>
      </c>
      <c r="Z99" s="102" t="str">
        <f>IFERROR(INDEX('I2016'!L$5:L$90,MATCH($C99,'I2016'!$A$5:$A$90,0)),"")</f>
        <v/>
      </c>
      <c r="AA99" s="102" t="str">
        <f>IFERROR(INDEX('I2016'!M$5:M$90,MATCH($C99,'I2016'!$A$5:$A$90,0)),"")</f>
        <v/>
      </c>
      <c r="AB99" s="102">
        <f>IFERROR(INDEX('I2017'!B$5:B$96,MATCH($C99,'I2017'!$A$5:$A$96,0)),"")</f>
        <v>1214.6400000000001</v>
      </c>
      <c r="AC99" s="102">
        <f>IFERROR(INDEX('I2017'!C$5:C$96,MATCH($C99,'I2017'!$A$5:$A$96,0)),"")</f>
        <v>1216.46</v>
      </c>
      <c r="AD99" s="102">
        <f>IFERROR(INDEX('I2017'!D$5:D$96,MATCH($C99,'I2017'!$A$5:$A$96,0)),"")</f>
        <v>1561.56</v>
      </c>
      <c r="AE99" s="102">
        <f>IFERROR(INDEX('I2017'!E$5:E$96,MATCH($C99,'I2017'!$A$5:$A$96,0)),"")</f>
        <v>1082.74</v>
      </c>
      <c r="AF99" s="102">
        <f>IFERROR(INDEX('I2017'!F$5:F$96,MATCH($C99,'I2017'!$A$5:$A$96,0)),"")</f>
        <v>1498.76</v>
      </c>
      <c r="AG99" s="102">
        <f>IFERROR(INDEX('I2017'!G$5:G$96,MATCH($C99,'I2017'!$A$5:$A$96,0)),"")</f>
        <v>2240.2800000000002</v>
      </c>
      <c r="AH99" s="102">
        <f>IFERROR(INDEX('I2017'!H$5:H$96,MATCH($C99,'I2017'!$A$5:$A$96,0)),"")</f>
        <v>1466.07</v>
      </c>
      <c r="AI99" s="102">
        <f>IFERROR(INDEX('I2017'!I$5:I$96,MATCH($C99,'I2017'!$A$5:$A$96,0)),"")</f>
        <v>670.06</v>
      </c>
      <c r="AJ99" s="102">
        <f>IFERROR(INDEX('I2017'!J$5:J$96,MATCH($C99,'I2017'!$A$5:$A$96,0)),"")</f>
        <v>483.07</v>
      </c>
      <c r="AK99" s="102">
        <f>IFERROR(INDEX('I2017'!K$5:K$96,MATCH($C99,'I2017'!$A$5:$A$96,0)),"")</f>
        <v>491.93</v>
      </c>
      <c r="AL99" s="102">
        <f>IFERROR(INDEX('I2017'!L$5:L$96,MATCH($C99,'I2017'!$A$5:$A$96,0)),"")</f>
        <v>370.45</v>
      </c>
      <c r="AM99" s="102">
        <f>IFERROR(INDEX('I2017'!M$5:M$96,MATCH($C99,'I2017'!$A$5:$A$96,0)),"")</f>
        <v>302</v>
      </c>
      <c r="AN99" s="102">
        <f>IFERROR(INDEX('I2018'!B$5:B$107,MATCH($C99,'I2018'!$A$5:$A$107,0)),"")</f>
        <v>433</v>
      </c>
      <c r="AO99" s="102">
        <f>IFERROR(INDEX('I2018'!C$5:C$107,MATCH($C99,'I2018'!$A$5:$A$107,0)),"")</f>
        <v>697</v>
      </c>
      <c r="AP99" s="102">
        <f>IFERROR(INDEX('I2018'!D$5:D$107,MATCH($C99,'I2018'!$A$5:$A$107,0)),"")</f>
        <v>993</v>
      </c>
      <c r="AQ99" s="102">
        <f>IFERROR(INDEX('I2018'!E$5:E$107,MATCH($C99,'I2018'!$A$5:$A$107,0)),"")</f>
        <v>1005</v>
      </c>
      <c r="AR99" s="102">
        <f>IFERROR(INDEX('I2018'!F$5:F$107,MATCH($C99,'I2018'!$A$5:$A$107,0)),"")</f>
        <v>854</v>
      </c>
      <c r="AS99" s="102">
        <f>IFERROR(INDEX('I2018'!G$5:G$107,MATCH($C99,'I2018'!$A$5:$A$107,0)),"")</f>
        <v>992</v>
      </c>
      <c r="AT99" s="102">
        <f>IFERROR(INDEX('I2018'!H$5:H$107,MATCH($C99,'I2018'!$A$5:$A$107,0)),"")</f>
        <v>1681</v>
      </c>
      <c r="AU99" s="102">
        <f>IFERROR(INDEX('I2018'!I$5:I$107,MATCH($C99,'I2018'!$A$5:$A$107,0)),"")</f>
        <v>847</v>
      </c>
      <c r="AV99" s="102">
        <f>IFERROR(INDEX('I2018'!J$5:J$107,MATCH($C99,'I2018'!$A$5:$A$107,0)),"")</f>
        <v>936</v>
      </c>
      <c r="AW99" s="102">
        <f>IFERROR(INDEX('I2018'!K$5:K$107,MATCH($C99,'I2018'!$A$5:$A$107,0)),"")</f>
        <v>1160</v>
      </c>
      <c r="AX99" s="102">
        <f>IFERROR(INDEX('I2018'!L$5:L$107,MATCH($C99,'I2018'!$A$5:$A$107,0)),"")</f>
        <v>110</v>
      </c>
      <c r="AY99" s="102">
        <f>IFERROR(INDEX('I2018'!M$5:M$107,MATCH($C99,'I2018'!$A$5:$A$107,0)),"")</f>
        <v>66</v>
      </c>
      <c r="AZ99" s="102">
        <f>IFERROR(INDEX('I2019'!B$5:B$112,MATCH($C99,'I2019'!$A$5:$A$112,0)),"")</f>
        <v>40</v>
      </c>
      <c r="BA99" s="102">
        <f>IFERROR(INDEX('I2019'!C$5:C$112,MATCH($C99,'I2019'!$A$5:$A$112,0)),"")</f>
        <v>38</v>
      </c>
      <c r="BB99" s="102">
        <f>IFERROR(INDEX('I2019'!D$5:D$112,MATCH($C99,'I2019'!$A$5:$A$112,0)),"")</f>
        <v>41</v>
      </c>
      <c r="BC99" s="102">
        <f>IFERROR(INDEX('I2019'!E$5:E$112,MATCH($C99,'I2019'!$A$5:$A$112,0)),"")</f>
        <v>49</v>
      </c>
      <c r="BD99" s="102">
        <f>IFERROR(INDEX('I2019'!F$5:F$112,MATCH($C99,'I2019'!$A$5:$A$112,0)),"")</f>
        <v>1027</v>
      </c>
      <c r="BE99" s="102">
        <f>IFERROR(INDEX('I2019'!G$5:G$112,MATCH($C99,'I2019'!$A$5:$A$112,0)),"")</f>
        <v>1526</v>
      </c>
      <c r="BF99" s="102">
        <f>IFERROR(INDEX('I2019'!H$5:H$112,MATCH($C99,'I2019'!$A$5:$A$112,0)),"")</f>
        <v>35</v>
      </c>
      <c r="BG99" s="102">
        <f>IFERROR(INDEX('I2019'!I$5:I$112,MATCH($C99,'I2019'!$A$5:$A$112,0)),"")</f>
        <v>19</v>
      </c>
      <c r="BH99" s="102">
        <f>IFERROR(INDEX('I2019'!J$5:J$112,MATCH($C99,'I2019'!$A$5:$A$112,0)),"")</f>
        <v>2</v>
      </c>
      <c r="BI99" s="102">
        <f>IFERROR(INDEX('I2019'!K$5:K$112,MATCH($C99,'I2019'!$A$5:$A$112,0)),"")</f>
        <v>0</v>
      </c>
      <c r="BJ99" s="102">
        <f>IFERROR(INDEX('I2019'!L$5:L$112,MATCH($C99,'I2019'!$A$5:$A$112,0)),"")</f>
        <v>0</v>
      </c>
      <c r="BK99" s="102">
        <f>IFERROR(INDEX('I2019'!M$5:M$112,MATCH($C99,'I2019'!$A$5:$A$112,0)),"")</f>
        <v>0</v>
      </c>
      <c r="BL99" s="102">
        <f>IFERROR(INDEX('I2020'!B$5:B$113,MATCH($C99,'I2020'!$A$5:$A$113,0)),"")</f>
        <v>0</v>
      </c>
      <c r="BM99" s="102">
        <f>IFERROR(INDEX('I2020'!C$5:C$113,MATCH($C99,'I2020'!$A$5:$A$113,0)),"")</f>
        <v>0</v>
      </c>
      <c r="BN99" s="102">
        <f>IFERROR(INDEX('I2020'!D$5:D$113,MATCH($C99,'I2020'!$A$5:$A$113,0)),"")</f>
        <v>0</v>
      </c>
      <c r="BO99" s="102">
        <f>IFERROR(INDEX('I2020'!E$5:E$113,MATCH($C99,'I2020'!$A$5:$A$113,0)),"")</f>
        <v>0</v>
      </c>
      <c r="BP99" s="102">
        <f>IFERROR(INDEX('I2020'!F$5:F$113,MATCH($C99,'I2020'!$A$5:$A$113,0)),"")</f>
        <v>1526.54</v>
      </c>
      <c r="BQ99" s="392">
        <f>IFERROR(INDEX('I2020'!G$5:G$113,MATCH($C99,'I2020'!$A$5:$A$113,0)),"")</f>
        <v>2527.08</v>
      </c>
      <c r="BR99" s="64"/>
      <c r="BS99" s="64"/>
      <c r="BT99" s="64"/>
      <c r="BU99" s="64"/>
      <c r="BV99" s="64"/>
      <c r="BW99" s="64"/>
      <c r="BX99" s="64"/>
      <c r="BY99" s="64"/>
      <c r="BZ99" s="64"/>
      <c r="CA99" s="64"/>
      <c r="CB99" s="64"/>
      <c r="CC99" s="64"/>
      <c r="CD99" s="64"/>
      <c r="CE99" s="64"/>
      <c r="CF99" s="64"/>
      <c r="CG99" s="64"/>
      <c r="CH99" s="64"/>
      <c r="CI99" s="124"/>
      <c r="CJ99" s="134"/>
    </row>
    <row r="100" spans="1:88" x14ac:dyDescent="0.3">
      <c r="A100" s="33"/>
      <c r="B100" s="68"/>
      <c r="C100" s="21" t="s">
        <v>73</v>
      </c>
      <c r="D100" s="102" t="str">
        <f>IFERROR(INDEX('I2015'!B$5:B$73,MATCH($C100,'I2015'!$A$5:$A$73,0)),"")</f>
        <v/>
      </c>
      <c r="E100" s="102" t="str">
        <f>IFERROR(INDEX('I2015'!C$5:C$73,MATCH($C100,'I2015'!$A$5:$A$73,0)),"")</f>
        <v/>
      </c>
      <c r="F100" s="102" t="str">
        <f>IFERROR(INDEX('I2015'!D$5:D$73,MATCH($C100,'I2015'!$A$5:$A$73,0)),"")</f>
        <v/>
      </c>
      <c r="G100" s="102" t="str">
        <f>IFERROR(INDEX('I2015'!E$5:E$73,MATCH($C100,'I2015'!$A$5:$A$73,0)),"")</f>
        <v/>
      </c>
      <c r="H100" s="102" t="str">
        <f>IFERROR(INDEX('I2015'!F$5:F$73,MATCH($C100,'I2015'!$A$5:$A$73,0)),"")</f>
        <v/>
      </c>
      <c r="I100" s="102" t="str">
        <f>IFERROR(INDEX('I2015'!G$5:G$73,MATCH($C100,'I2015'!$A$5:$A$73,0)),"")</f>
        <v/>
      </c>
      <c r="J100" s="102" t="str">
        <f>IFERROR(INDEX('I2015'!H$5:H$73,MATCH($C100,'I2015'!$A$5:$A$73,0)),"")</f>
        <v/>
      </c>
      <c r="K100" s="102" t="str">
        <f>IFERROR(INDEX('I2015'!I$5:I$73,MATCH($C100,'I2015'!$A$5:$A$73,0)),"")</f>
        <v/>
      </c>
      <c r="L100" s="102" t="str">
        <f>IFERROR(INDEX('I2015'!J$5:J$73,MATCH($C100,'I2015'!$A$5:$A$73,0)),"")</f>
        <v/>
      </c>
      <c r="M100" s="102" t="str">
        <f>IFERROR(INDEX('I2015'!K$5:K$73,MATCH($C100,'I2015'!$A$5:$A$73,0)),"")</f>
        <v/>
      </c>
      <c r="N100" s="102" t="str">
        <f>IFERROR(INDEX('I2015'!L$5:L$73,MATCH($C100,'I2015'!$A$5:$A$73,0)),"")</f>
        <v/>
      </c>
      <c r="O100" s="102" t="str">
        <f>IFERROR(INDEX('I2015'!M$5:M$73,MATCH($C100,'I2015'!$A$5:$A$73,0)),"")</f>
        <v/>
      </c>
      <c r="P100" s="102" t="str">
        <f>IFERROR(INDEX('I2016'!B$5:B$90,MATCH($C100,'I2016'!$A$5:$A$90,0)),"")</f>
        <v/>
      </c>
      <c r="Q100" s="102" t="str">
        <f>IFERROR(INDEX('I2016'!C$5:C$90,MATCH($C100,'I2016'!$A$5:$A$90,0)),"")</f>
        <v/>
      </c>
      <c r="R100" s="102" t="str">
        <f>IFERROR(INDEX('I2016'!D$5:D$90,MATCH($C100,'I2016'!$A$5:$A$90,0)),"")</f>
        <v/>
      </c>
      <c r="S100" s="102" t="str">
        <f>IFERROR(INDEX('I2016'!E$5:E$90,MATCH($C100,'I2016'!$A$5:$A$90,0)),"")</f>
        <v/>
      </c>
      <c r="T100" s="102" t="str">
        <f>IFERROR(INDEX('I2016'!F$5:F$90,MATCH($C100,'I2016'!$A$5:$A$90,0)),"")</f>
        <v/>
      </c>
      <c r="U100" s="102" t="str">
        <f>IFERROR(INDEX('I2016'!G$5:G$90,MATCH($C100,'I2016'!$A$5:$A$90,0)),"")</f>
        <v/>
      </c>
      <c r="V100" s="102" t="str">
        <f>IFERROR(INDEX('I2016'!H$5:H$90,MATCH($C100,'I2016'!$A$5:$A$90,0)),"")</f>
        <v/>
      </c>
      <c r="W100" s="102" t="str">
        <f>IFERROR(INDEX('I2016'!I$5:I$90,MATCH($C100,'I2016'!$A$5:$A$90,0)),"")</f>
        <v/>
      </c>
      <c r="X100" s="102" t="str">
        <f>IFERROR(INDEX('I2016'!J$5:J$90,MATCH($C100,'I2016'!$A$5:$A$90,0)),"")</f>
        <v/>
      </c>
      <c r="Y100" s="102" t="str">
        <f>IFERROR(INDEX('I2016'!K$5:K$90,MATCH($C100,'I2016'!$A$5:$A$90,0)),"")</f>
        <v/>
      </c>
      <c r="Z100" s="102" t="str">
        <f>IFERROR(INDEX('I2016'!L$5:L$90,MATCH($C100,'I2016'!$A$5:$A$90,0)),"")</f>
        <v/>
      </c>
      <c r="AA100" s="102" t="str">
        <f>IFERROR(INDEX('I2016'!M$5:M$90,MATCH($C100,'I2016'!$A$5:$A$90,0)),"")</f>
        <v/>
      </c>
      <c r="AB100" s="102">
        <f>IFERROR(INDEX('I2017'!B$5:B$96,MATCH($C100,'I2017'!$A$5:$A$96,0)),"")</f>
        <v>50</v>
      </c>
      <c r="AC100" s="102">
        <f>IFERROR(INDEX('I2017'!C$5:C$96,MATCH($C100,'I2017'!$A$5:$A$96,0)),"")</f>
        <v>0.55000000000000004</v>
      </c>
      <c r="AD100" s="102">
        <f>IFERROR(INDEX('I2017'!D$5:D$96,MATCH($C100,'I2017'!$A$5:$A$96,0)),"")</f>
        <v>0</v>
      </c>
      <c r="AE100" s="102">
        <f>IFERROR(INDEX('I2017'!E$5:E$96,MATCH($C100,'I2017'!$A$5:$A$96,0)),"")</f>
        <v>0</v>
      </c>
      <c r="AF100" s="102">
        <f>IFERROR(INDEX('I2017'!F$5:F$96,MATCH($C100,'I2017'!$A$5:$A$96,0)),"")</f>
        <v>0</v>
      </c>
      <c r="AG100" s="102">
        <f>IFERROR(INDEX('I2017'!G$5:G$96,MATCH($C100,'I2017'!$A$5:$A$96,0)),"")</f>
        <v>0</v>
      </c>
      <c r="AH100" s="102">
        <f>IFERROR(INDEX('I2017'!H$5:H$96,MATCH($C100,'I2017'!$A$5:$A$96,0)),"")</f>
        <v>0</v>
      </c>
      <c r="AI100" s="102">
        <f>IFERROR(INDEX('I2017'!I$5:I$96,MATCH($C100,'I2017'!$A$5:$A$96,0)),"")</f>
        <v>0</v>
      </c>
      <c r="AJ100" s="102">
        <f>IFERROR(INDEX('I2017'!J$5:J$96,MATCH($C100,'I2017'!$A$5:$A$96,0)),"")</f>
        <v>0</v>
      </c>
      <c r="AK100" s="102">
        <f>IFERROR(INDEX('I2017'!K$5:K$96,MATCH($C100,'I2017'!$A$5:$A$96,0)),"")</f>
        <v>0</v>
      </c>
      <c r="AL100" s="102">
        <f>IFERROR(INDEX('I2017'!L$5:L$96,MATCH($C100,'I2017'!$A$5:$A$96,0)),"")</f>
        <v>102.4</v>
      </c>
      <c r="AM100" s="102">
        <f>IFERROR(INDEX('I2017'!M$5:M$96,MATCH($C100,'I2017'!$A$5:$A$96,0)),"")</f>
        <v>293.73</v>
      </c>
      <c r="AN100" s="102">
        <f>IFERROR(INDEX('I2018'!B$5:B$107,MATCH($C100,'I2018'!$A$5:$A$107,0)),"")</f>
        <v>1852.96</v>
      </c>
      <c r="AO100" s="102">
        <f>IFERROR(INDEX('I2018'!C$5:C$107,MATCH($C100,'I2018'!$A$5:$A$107,0)),"")</f>
        <v>4000</v>
      </c>
      <c r="AP100" s="102">
        <f>IFERROR(INDEX('I2018'!D$5:D$107,MATCH($C100,'I2018'!$A$5:$A$107,0)),"")</f>
        <v>11500</v>
      </c>
      <c r="AQ100" s="102">
        <f>IFERROR(INDEX('I2018'!E$5:E$107,MATCH($C100,'I2018'!$A$5:$A$107,0)),"")</f>
        <v>10500</v>
      </c>
      <c r="AR100" s="102">
        <f>IFERROR(INDEX('I2018'!F$5:F$107,MATCH($C100,'I2018'!$A$5:$A$107,0)),"")</f>
        <v>10500</v>
      </c>
      <c r="AS100" s="102">
        <f>IFERROR(INDEX('I2018'!G$5:G$107,MATCH($C100,'I2018'!$A$5:$A$107,0)),"")</f>
        <v>14000</v>
      </c>
      <c r="AT100" s="102">
        <f>IFERROR(INDEX('I2018'!H$5:H$107,MATCH($C100,'I2018'!$A$5:$A$107,0)),"")</f>
        <v>17500</v>
      </c>
      <c r="AU100" s="102">
        <f>IFERROR(INDEX('I2018'!I$5:I$107,MATCH($C100,'I2018'!$A$5:$A$107,0)),"")</f>
        <v>30437.11</v>
      </c>
      <c r="AV100" s="102">
        <f>IFERROR(INDEX('I2018'!J$5:J$107,MATCH($C100,'I2018'!$A$5:$A$107,0)),"")</f>
        <v>29200</v>
      </c>
      <c r="AW100" s="102">
        <f>IFERROR(INDEX('I2018'!K$5:K$107,MATCH($C100,'I2018'!$A$5:$A$107,0)),"")</f>
        <v>19031.12</v>
      </c>
      <c r="AX100" s="102">
        <f>IFERROR(INDEX('I2018'!L$5:L$107,MATCH($C100,'I2018'!$A$5:$A$107,0)),"")</f>
        <v>25475.18</v>
      </c>
      <c r="AY100" s="102">
        <f>IFERROR(INDEX('I2018'!M$5:M$107,MATCH($C100,'I2018'!$A$5:$A$107,0)),"")</f>
        <v>10502.12</v>
      </c>
      <c r="AZ100" s="102">
        <f>IFERROR(INDEX('I2019'!B$5:B$112,MATCH($C100,'I2019'!$A$5:$A$112,0)),"")</f>
        <v>14502.12</v>
      </c>
      <c r="BA100" s="102">
        <f>IFERROR(INDEX('I2019'!C$5:C$112,MATCH($C100,'I2019'!$A$5:$A$112,0)),"")</f>
        <v>15502.12</v>
      </c>
      <c r="BB100" s="102">
        <f>IFERROR(INDEX('I2019'!D$5:D$112,MATCH($C100,'I2019'!$A$5:$A$112,0)),"")</f>
        <v>17002.12</v>
      </c>
      <c r="BC100" s="102">
        <f>IFERROR(INDEX('I2019'!E$5:E$112,MATCH($C100,'I2019'!$A$5:$A$112,0)),"")</f>
        <v>31333.08</v>
      </c>
      <c r="BD100" s="102">
        <f>IFERROR(INDEX('I2019'!F$5:F$112,MATCH($C100,'I2019'!$A$5:$A$112,0)),"")</f>
        <v>23513.88</v>
      </c>
      <c r="BE100" s="102">
        <f>IFERROR(INDEX('I2019'!G$5:G$112,MATCH($C100,'I2019'!$A$5:$A$112,0)),"")</f>
        <v>19417.02</v>
      </c>
      <c r="BF100" s="102">
        <f>IFERROR(INDEX('I2019'!H$5:H$112,MATCH($C100,'I2019'!$A$5:$A$112,0)),"")</f>
        <v>27524</v>
      </c>
      <c r="BG100" s="102">
        <f>IFERROR(INDEX('I2019'!I$5:I$112,MATCH($C100,'I2019'!$A$5:$A$112,0)),"")</f>
        <v>32812.120000000003</v>
      </c>
      <c r="BH100" s="102">
        <f>IFERROR(INDEX('I2019'!J$5:J$112,MATCH($C100,'I2019'!$A$5:$A$112,0)),"")</f>
        <v>45163</v>
      </c>
      <c r="BI100" s="102">
        <f>IFERROR(INDEX('I2019'!K$5:K$112,MATCH($C100,'I2019'!$A$5:$A$112,0)),"")</f>
        <v>16384.900000000001</v>
      </c>
      <c r="BJ100" s="102">
        <f>IFERROR(INDEX('I2019'!L$5:L$112,MATCH($C100,'I2019'!$A$5:$A$112,0)),"")</f>
        <v>15002.12</v>
      </c>
      <c r="BK100" s="102">
        <f>IFERROR(INDEX('I2019'!M$5:M$112,MATCH($C100,'I2019'!$A$5:$A$112,0)),"")</f>
        <v>18066</v>
      </c>
      <c r="BL100" s="102">
        <f>IFERROR(INDEX('I2020'!B$5:B$113,MATCH($C100,'I2020'!$A$5:$A$113,0)),"")</f>
        <v>17068.12</v>
      </c>
      <c r="BM100" s="102">
        <f>IFERROR(INDEX('I2020'!C$5:C$113,MATCH($C100,'I2020'!$A$5:$A$113,0)),"")</f>
        <v>2502.12</v>
      </c>
      <c r="BN100" s="102">
        <f>IFERROR(INDEX('I2020'!D$5:D$113,MATCH($C100,'I2020'!$A$5:$A$113,0)),"")</f>
        <v>10500</v>
      </c>
      <c r="BO100" s="102">
        <f>IFERROR(INDEX('I2020'!E$5:E$113,MATCH($C100,'I2020'!$A$5:$A$113,0)),"")</f>
        <v>5500</v>
      </c>
      <c r="BP100" s="102">
        <f>IFERROR(INDEX('I2020'!F$5:F$113,MATCH($C100,'I2020'!$A$5:$A$113,0)),"")</f>
        <v>12500</v>
      </c>
      <c r="BQ100" s="392">
        <f>IFERROR(INDEX('I2020'!G$5:G$113,MATCH($C100,'I2020'!$A$5:$A$113,0)),"")</f>
        <v>6502.12</v>
      </c>
      <c r="BR100" s="64"/>
      <c r="BS100" s="64"/>
      <c r="BT100" s="64"/>
      <c r="BU100" s="64"/>
      <c r="BV100" s="64"/>
      <c r="BW100" s="64"/>
      <c r="BX100" s="64"/>
      <c r="BY100" s="64"/>
      <c r="BZ100" s="64"/>
      <c r="CA100" s="64"/>
      <c r="CB100" s="64"/>
      <c r="CC100" s="64"/>
      <c r="CD100" s="64"/>
      <c r="CE100" s="64"/>
      <c r="CF100" s="64"/>
      <c r="CG100" s="64"/>
      <c r="CH100" s="64"/>
      <c r="CI100" s="124"/>
      <c r="CJ100" s="134"/>
    </row>
    <row r="101" spans="1:88" x14ac:dyDescent="0.3">
      <c r="A101" s="33"/>
      <c r="B101" s="68"/>
      <c r="C101" s="21" t="s">
        <v>74</v>
      </c>
      <c r="D101" s="102" t="str">
        <f>IFERROR(INDEX('I2015'!B$5:B$73,MATCH($C101,'I2015'!$A$5:$A$73,0)),"")</f>
        <v/>
      </c>
      <c r="E101" s="102" t="str">
        <f>IFERROR(INDEX('I2015'!C$5:C$73,MATCH($C101,'I2015'!$A$5:$A$73,0)),"")</f>
        <v/>
      </c>
      <c r="F101" s="102" t="str">
        <f>IFERROR(INDEX('I2015'!D$5:D$73,MATCH($C101,'I2015'!$A$5:$A$73,0)),"")</f>
        <v/>
      </c>
      <c r="G101" s="102" t="str">
        <f>IFERROR(INDEX('I2015'!E$5:E$73,MATCH($C101,'I2015'!$A$5:$A$73,0)),"")</f>
        <v/>
      </c>
      <c r="H101" s="102" t="str">
        <f>IFERROR(INDEX('I2015'!F$5:F$73,MATCH($C101,'I2015'!$A$5:$A$73,0)),"")</f>
        <v/>
      </c>
      <c r="I101" s="102" t="str">
        <f>IFERROR(INDEX('I2015'!G$5:G$73,MATCH($C101,'I2015'!$A$5:$A$73,0)),"")</f>
        <v/>
      </c>
      <c r="J101" s="102" t="str">
        <f>IFERROR(INDEX('I2015'!H$5:H$73,MATCH($C101,'I2015'!$A$5:$A$73,0)),"")</f>
        <v/>
      </c>
      <c r="K101" s="102" t="str">
        <f>IFERROR(INDEX('I2015'!I$5:I$73,MATCH($C101,'I2015'!$A$5:$A$73,0)),"")</f>
        <v/>
      </c>
      <c r="L101" s="102" t="str">
        <f>IFERROR(INDEX('I2015'!J$5:J$73,MATCH($C101,'I2015'!$A$5:$A$73,0)),"")</f>
        <v/>
      </c>
      <c r="M101" s="102" t="str">
        <f>IFERROR(INDEX('I2015'!K$5:K$73,MATCH($C101,'I2015'!$A$5:$A$73,0)),"")</f>
        <v/>
      </c>
      <c r="N101" s="102" t="str">
        <f>IFERROR(INDEX('I2015'!L$5:L$73,MATCH($C101,'I2015'!$A$5:$A$73,0)),"")</f>
        <v/>
      </c>
      <c r="O101" s="102" t="str">
        <f>IFERROR(INDEX('I2015'!M$5:M$73,MATCH($C101,'I2015'!$A$5:$A$73,0)),"")</f>
        <v/>
      </c>
      <c r="P101" s="102">
        <f>IFERROR(INDEX('I2016'!B$5:B$90,MATCH($C101,'I2016'!$A$5:$A$90,0)),"")</f>
        <v>0</v>
      </c>
      <c r="Q101" s="102">
        <f>IFERROR(INDEX('I2016'!C$5:C$90,MATCH($C101,'I2016'!$A$5:$A$90,0)),"")</f>
        <v>0</v>
      </c>
      <c r="R101" s="102">
        <f>IFERROR(INDEX('I2016'!D$5:D$90,MATCH($C101,'I2016'!$A$5:$A$90,0)),"")</f>
        <v>0</v>
      </c>
      <c r="S101" s="102">
        <f>IFERROR(INDEX('I2016'!E$5:E$90,MATCH($C101,'I2016'!$A$5:$A$90,0)),"")</f>
        <v>0</v>
      </c>
      <c r="T101" s="102">
        <f>IFERROR(INDEX('I2016'!F$5:F$90,MATCH($C101,'I2016'!$A$5:$A$90,0)),"")</f>
        <v>0</v>
      </c>
      <c r="U101" s="102">
        <f>IFERROR(INDEX('I2016'!G$5:G$90,MATCH($C101,'I2016'!$A$5:$A$90,0)),"")</f>
        <v>0</v>
      </c>
      <c r="V101" s="102">
        <f>IFERROR(INDEX('I2016'!H$5:H$90,MATCH($C101,'I2016'!$A$5:$A$90,0)),"")</f>
        <v>0</v>
      </c>
      <c r="W101" s="102">
        <f>IFERROR(INDEX('I2016'!I$5:I$90,MATCH($C101,'I2016'!$A$5:$A$90,0)),"")</f>
        <v>0</v>
      </c>
      <c r="X101" s="102">
        <f>IFERROR(INDEX('I2016'!J$5:J$90,MATCH($C101,'I2016'!$A$5:$A$90,0)),"")</f>
        <v>0</v>
      </c>
      <c r="Y101" s="102">
        <f>IFERROR(INDEX('I2016'!K$5:K$90,MATCH($C101,'I2016'!$A$5:$A$90,0)),"")</f>
        <v>10</v>
      </c>
      <c r="Z101" s="102">
        <f>IFERROR(INDEX('I2016'!L$5:L$90,MATCH($C101,'I2016'!$A$5:$A$90,0)),"")</f>
        <v>650</v>
      </c>
      <c r="AA101" s="102">
        <f>IFERROR(INDEX('I2016'!M$5:M$90,MATCH($C101,'I2016'!$A$5:$A$90,0)),"")</f>
        <v>450</v>
      </c>
      <c r="AB101" s="102">
        <f>IFERROR(INDEX('I2017'!B$5:B$96,MATCH($C101,'I2017'!$A$5:$A$96,0)),"")</f>
        <v>62</v>
      </c>
      <c r="AC101" s="102">
        <f>IFERROR(INDEX('I2017'!C$5:C$96,MATCH($C101,'I2017'!$A$5:$A$96,0)),"")</f>
        <v>0</v>
      </c>
      <c r="AD101" s="102">
        <f>IFERROR(INDEX('I2017'!D$5:D$96,MATCH($C101,'I2017'!$A$5:$A$96,0)),"")</f>
        <v>0</v>
      </c>
      <c r="AE101" s="102">
        <f>IFERROR(INDEX('I2017'!E$5:E$96,MATCH($C101,'I2017'!$A$5:$A$96,0)),"")</f>
        <v>24</v>
      </c>
      <c r="AF101" s="102">
        <f>IFERROR(INDEX('I2017'!F$5:F$96,MATCH($C101,'I2017'!$A$5:$A$96,0)),"")</f>
        <v>27</v>
      </c>
      <c r="AG101" s="102">
        <f>IFERROR(INDEX('I2017'!G$5:G$96,MATCH($C101,'I2017'!$A$5:$A$96,0)),"")</f>
        <v>12</v>
      </c>
      <c r="AH101" s="102">
        <f>IFERROR(INDEX('I2017'!H$5:H$96,MATCH($C101,'I2017'!$A$5:$A$96,0)),"")</f>
        <v>0</v>
      </c>
      <c r="AI101" s="102">
        <f>IFERROR(INDEX('I2017'!I$5:I$96,MATCH($C101,'I2017'!$A$5:$A$96,0)),"")</f>
        <v>12</v>
      </c>
      <c r="AJ101" s="102">
        <f>IFERROR(INDEX('I2017'!J$5:J$96,MATCH($C101,'I2017'!$A$5:$A$96,0)),"")</f>
        <v>27</v>
      </c>
      <c r="AK101" s="102">
        <f>IFERROR(INDEX('I2017'!K$5:K$96,MATCH($C101,'I2017'!$A$5:$A$96,0)),"")</f>
        <v>9</v>
      </c>
      <c r="AL101" s="102">
        <f>IFERROR(INDEX('I2017'!L$5:L$96,MATCH($C101,'I2017'!$A$5:$A$96,0)),"")</f>
        <v>0</v>
      </c>
      <c r="AM101" s="102">
        <f>IFERROR(INDEX('I2017'!M$5:M$96,MATCH($C101,'I2017'!$A$5:$A$96,0)),"")</f>
        <v>30</v>
      </c>
      <c r="AN101" s="102">
        <f>IFERROR(INDEX('I2018'!B$5:B$107,MATCH($C101,'I2018'!$A$5:$A$107,0)),"")</f>
        <v>15</v>
      </c>
      <c r="AO101" s="102">
        <f>IFERROR(INDEX('I2018'!C$5:C$107,MATCH($C101,'I2018'!$A$5:$A$107,0)),"")</f>
        <v>0</v>
      </c>
      <c r="AP101" s="102">
        <f>IFERROR(INDEX('I2018'!D$5:D$107,MATCH($C101,'I2018'!$A$5:$A$107,0)),"")</f>
        <v>27</v>
      </c>
      <c r="AQ101" s="102">
        <f>IFERROR(INDEX('I2018'!E$5:E$107,MATCH($C101,'I2018'!$A$5:$A$107,0)),"")</f>
        <v>51</v>
      </c>
      <c r="AR101" s="102">
        <f>IFERROR(INDEX('I2018'!F$5:F$107,MATCH($C101,'I2018'!$A$5:$A$107,0)),"")</f>
        <v>27</v>
      </c>
      <c r="AS101" s="102">
        <f>IFERROR(INDEX('I2018'!G$5:G$107,MATCH($C101,'I2018'!$A$5:$A$107,0)),"")</f>
        <v>8.1199999999999992</v>
      </c>
      <c r="AT101" s="102">
        <f>IFERROR(INDEX('I2018'!H$5:H$107,MATCH($C101,'I2018'!$A$5:$A$107,0)),"")</f>
        <v>48</v>
      </c>
      <c r="AU101" s="102">
        <f>IFERROR(INDEX('I2018'!I$5:I$107,MATCH($C101,'I2018'!$A$5:$A$107,0)),"")</f>
        <v>108</v>
      </c>
      <c r="AV101" s="102">
        <f>IFERROR(INDEX('I2018'!J$5:J$107,MATCH($C101,'I2018'!$A$5:$A$107,0)),"")</f>
        <v>21</v>
      </c>
      <c r="AW101" s="102">
        <f>IFERROR(INDEX('I2018'!K$5:K$107,MATCH($C101,'I2018'!$A$5:$A$107,0)),"")</f>
        <v>0</v>
      </c>
      <c r="AX101" s="102">
        <f>IFERROR(INDEX('I2018'!L$5:L$107,MATCH($C101,'I2018'!$A$5:$A$107,0)),"")</f>
        <v>96</v>
      </c>
      <c r="AY101" s="102">
        <f>IFERROR(INDEX('I2018'!M$5:M$107,MATCH($C101,'I2018'!$A$5:$A$107,0)),"")</f>
        <v>0</v>
      </c>
      <c r="AZ101" s="102">
        <f>IFERROR(INDEX('I2019'!B$5:B$112,MATCH($C101,'I2019'!$A$5:$A$112,0)),"")</f>
        <v>0</v>
      </c>
      <c r="BA101" s="102">
        <f>IFERROR(INDEX('I2019'!C$5:C$112,MATCH($C101,'I2019'!$A$5:$A$112,0)),"")</f>
        <v>210</v>
      </c>
      <c r="BB101" s="102">
        <f>IFERROR(INDEX('I2019'!D$5:D$112,MATCH($C101,'I2019'!$A$5:$A$112,0)),"")</f>
        <v>0</v>
      </c>
      <c r="BC101" s="102">
        <f>IFERROR(INDEX('I2019'!E$5:E$112,MATCH($C101,'I2019'!$A$5:$A$112,0)),"")</f>
        <v>0</v>
      </c>
      <c r="BD101" s="102">
        <f>IFERROR(INDEX('I2019'!F$5:F$112,MATCH($C101,'I2019'!$A$5:$A$112,0)),"")</f>
        <v>0</v>
      </c>
      <c r="BE101" s="102">
        <f>IFERROR(INDEX('I2019'!G$5:G$112,MATCH($C101,'I2019'!$A$5:$A$112,0)),"")</f>
        <v>0</v>
      </c>
      <c r="BF101" s="102">
        <f>IFERROR(INDEX('I2019'!H$5:H$112,MATCH($C101,'I2019'!$A$5:$A$112,0)),"")</f>
        <v>0</v>
      </c>
      <c r="BG101" s="102">
        <f>IFERROR(INDEX('I2019'!I$5:I$112,MATCH($C101,'I2019'!$A$5:$A$112,0)),"")</f>
        <v>0</v>
      </c>
      <c r="BH101" s="102">
        <f>IFERROR(INDEX('I2019'!J$5:J$112,MATCH($C101,'I2019'!$A$5:$A$112,0)),"")</f>
        <v>0</v>
      </c>
      <c r="BI101" s="102">
        <f>IFERROR(INDEX('I2019'!K$5:K$112,MATCH($C101,'I2019'!$A$5:$A$112,0)),"")</f>
        <v>0</v>
      </c>
      <c r="BJ101" s="102">
        <f>IFERROR(INDEX('I2019'!L$5:L$112,MATCH($C101,'I2019'!$A$5:$A$112,0)),"")</f>
        <v>0</v>
      </c>
      <c r="BK101" s="102">
        <f>IFERROR(INDEX('I2019'!M$5:M$112,MATCH($C101,'I2019'!$A$5:$A$112,0)),"")</f>
        <v>0</v>
      </c>
      <c r="BL101" s="102" t="str">
        <f>IFERROR(INDEX('I2020'!B$5:B$113,MATCH($C101,'I2020'!$A$5:$A$113,0)),"")</f>
        <v/>
      </c>
      <c r="BM101" s="102" t="str">
        <f>IFERROR(INDEX('I2020'!C$5:C$113,MATCH($C101,'I2020'!$A$5:$A$113,0)),"")</f>
        <v/>
      </c>
      <c r="BN101" s="102" t="str">
        <f>IFERROR(INDEX('I2020'!D$5:D$113,MATCH($C101,'I2020'!$A$5:$A$113,0)),"")</f>
        <v/>
      </c>
      <c r="BO101" s="102" t="str">
        <f>IFERROR(INDEX('I2020'!E$5:E$113,MATCH($C101,'I2020'!$A$5:$A$113,0)),"")</f>
        <v/>
      </c>
      <c r="BP101" s="102" t="str">
        <f>IFERROR(INDEX('I2020'!F$5:F$113,MATCH($C101,'I2020'!$A$5:$A$113,0)),"")</f>
        <v/>
      </c>
      <c r="BQ101" s="392" t="str">
        <f>IFERROR(INDEX('I2020'!G$5:G$113,MATCH($C101,'I2020'!$A$5:$A$113,0)),"")</f>
        <v/>
      </c>
      <c r="BR101" s="64"/>
      <c r="BS101" s="64"/>
      <c r="BT101" s="64"/>
      <c r="BU101" s="64"/>
      <c r="BV101" s="64"/>
      <c r="BW101" s="64"/>
      <c r="BX101" s="64"/>
      <c r="BY101" s="64"/>
      <c r="BZ101" s="64"/>
      <c r="CA101" s="64"/>
      <c r="CB101" s="64"/>
      <c r="CC101" s="64"/>
      <c r="CD101" s="64"/>
      <c r="CE101" s="64"/>
      <c r="CF101" s="64"/>
      <c r="CG101" s="64"/>
      <c r="CH101" s="64"/>
      <c r="CI101" s="124"/>
      <c r="CJ101" s="134"/>
    </row>
    <row r="102" spans="1:88" x14ac:dyDescent="0.3">
      <c r="A102" s="33"/>
      <c r="B102" s="68"/>
      <c r="C102" s="21" t="s">
        <v>207</v>
      </c>
      <c r="D102" s="102" t="str">
        <f>IFERROR(INDEX('I2015'!B$5:B$73,MATCH($C102,'I2015'!$A$5:$A$73,0)),"")</f>
        <v/>
      </c>
      <c r="E102" s="102" t="str">
        <f>IFERROR(INDEX('I2015'!C$5:C$73,MATCH($C102,'I2015'!$A$5:$A$73,0)),"")</f>
        <v/>
      </c>
      <c r="F102" s="102" t="str">
        <f>IFERROR(INDEX('I2015'!D$5:D$73,MATCH($C102,'I2015'!$A$5:$A$73,0)),"")</f>
        <v/>
      </c>
      <c r="G102" s="102" t="str">
        <f>IFERROR(INDEX('I2015'!E$5:E$73,MATCH($C102,'I2015'!$A$5:$A$73,0)),"")</f>
        <v/>
      </c>
      <c r="H102" s="102" t="str">
        <f>IFERROR(INDEX('I2015'!F$5:F$73,MATCH($C102,'I2015'!$A$5:$A$73,0)),"")</f>
        <v/>
      </c>
      <c r="I102" s="102" t="str">
        <f>IFERROR(INDEX('I2015'!G$5:G$73,MATCH($C102,'I2015'!$A$5:$A$73,0)),"")</f>
        <v/>
      </c>
      <c r="J102" s="102" t="str">
        <f>IFERROR(INDEX('I2015'!H$5:H$73,MATCH($C102,'I2015'!$A$5:$A$73,0)),"")</f>
        <v/>
      </c>
      <c r="K102" s="102" t="str">
        <f>IFERROR(INDEX('I2015'!I$5:I$73,MATCH($C102,'I2015'!$A$5:$A$73,0)),"")</f>
        <v/>
      </c>
      <c r="L102" s="102" t="str">
        <f>IFERROR(INDEX('I2015'!J$5:J$73,MATCH($C102,'I2015'!$A$5:$A$73,0)),"")</f>
        <v/>
      </c>
      <c r="M102" s="102" t="str">
        <f>IFERROR(INDEX('I2015'!K$5:K$73,MATCH($C102,'I2015'!$A$5:$A$73,0)),"")</f>
        <v/>
      </c>
      <c r="N102" s="102" t="str">
        <f>IFERROR(INDEX('I2015'!L$5:L$73,MATCH($C102,'I2015'!$A$5:$A$73,0)),"")</f>
        <v/>
      </c>
      <c r="O102" s="102" t="str">
        <f>IFERROR(INDEX('I2015'!M$5:M$73,MATCH($C102,'I2015'!$A$5:$A$73,0)),"")</f>
        <v/>
      </c>
      <c r="P102" s="102" t="str">
        <f>IFERROR(INDEX('I2016'!B$5:B$90,MATCH($C102,'I2016'!$A$5:$A$90,0)),"")</f>
        <v/>
      </c>
      <c r="Q102" s="102" t="str">
        <f>IFERROR(INDEX('I2016'!C$5:C$90,MATCH($C102,'I2016'!$A$5:$A$90,0)),"")</f>
        <v/>
      </c>
      <c r="R102" s="102" t="str">
        <f>IFERROR(INDEX('I2016'!D$5:D$90,MATCH($C102,'I2016'!$A$5:$A$90,0)),"")</f>
        <v/>
      </c>
      <c r="S102" s="102" t="str">
        <f>IFERROR(INDEX('I2016'!E$5:E$90,MATCH($C102,'I2016'!$A$5:$A$90,0)),"")</f>
        <v/>
      </c>
      <c r="T102" s="102" t="str">
        <f>IFERROR(INDEX('I2016'!F$5:F$90,MATCH($C102,'I2016'!$A$5:$A$90,0)),"")</f>
        <v/>
      </c>
      <c r="U102" s="102" t="str">
        <f>IFERROR(INDEX('I2016'!G$5:G$90,MATCH($C102,'I2016'!$A$5:$A$90,0)),"")</f>
        <v/>
      </c>
      <c r="V102" s="102" t="str">
        <f>IFERROR(INDEX('I2016'!H$5:H$90,MATCH($C102,'I2016'!$A$5:$A$90,0)),"")</f>
        <v/>
      </c>
      <c r="W102" s="102" t="str">
        <f>IFERROR(INDEX('I2016'!I$5:I$90,MATCH($C102,'I2016'!$A$5:$A$90,0)),"")</f>
        <v/>
      </c>
      <c r="X102" s="102" t="str">
        <f>IFERROR(INDEX('I2016'!J$5:J$90,MATCH($C102,'I2016'!$A$5:$A$90,0)),"")</f>
        <v/>
      </c>
      <c r="Y102" s="102" t="str">
        <f>IFERROR(INDEX('I2016'!K$5:K$90,MATCH($C102,'I2016'!$A$5:$A$90,0)),"")</f>
        <v/>
      </c>
      <c r="Z102" s="102" t="str">
        <f>IFERROR(INDEX('I2016'!L$5:L$90,MATCH($C102,'I2016'!$A$5:$A$90,0)),"")</f>
        <v/>
      </c>
      <c r="AA102" s="102" t="str">
        <f>IFERROR(INDEX('I2016'!M$5:M$90,MATCH($C102,'I2016'!$A$5:$A$90,0)),"")</f>
        <v/>
      </c>
      <c r="AB102" s="102" t="str">
        <f>IFERROR(INDEX('I2017'!B$5:B$96,MATCH($C102,'I2017'!$A$5:$A$96,0)),"")</f>
        <v/>
      </c>
      <c r="AC102" s="102" t="str">
        <f>IFERROR(INDEX('I2017'!C$5:C$96,MATCH($C102,'I2017'!$A$5:$A$96,0)),"")</f>
        <v/>
      </c>
      <c r="AD102" s="102" t="str">
        <f>IFERROR(INDEX('I2017'!D$5:D$96,MATCH($C102,'I2017'!$A$5:$A$96,0)),"")</f>
        <v/>
      </c>
      <c r="AE102" s="102" t="str">
        <f>IFERROR(INDEX('I2017'!E$5:E$96,MATCH($C102,'I2017'!$A$5:$A$96,0)),"")</f>
        <v/>
      </c>
      <c r="AF102" s="102" t="str">
        <f>IFERROR(INDEX('I2017'!F$5:F$96,MATCH($C102,'I2017'!$A$5:$A$96,0)),"")</f>
        <v/>
      </c>
      <c r="AG102" s="102" t="str">
        <f>IFERROR(INDEX('I2017'!G$5:G$96,MATCH($C102,'I2017'!$A$5:$A$96,0)),"")</f>
        <v/>
      </c>
      <c r="AH102" s="102" t="str">
        <f>IFERROR(INDEX('I2017'!H$5:H$96,MATCH($C102,'I2017'!$A$5:$A$96,0)),"")</f>
        <v/>
      </c>
      <c r="AI102" s="102" t="str">
        <f>IFERROR(INDEX('I2017'!I$5:I$96,MATCH($C102,'I2017'!$A$5:$A$96,0)),"")</f>
        <v/>
      </c>
      <c r="AJ102" s="102" t="str">
        <f>IFERROR(INDEX('I2017'!J$5:J$96,MATCH($C102,'I2017'!$A$5:$A$96,0)),"")</f>
        <v/>
      </c>
      <c r="AK102" s="102" t="str">
        <f>IFERROR(INDEX('I2017'!K$5:K$96,MATCH($C102,'I2017'!$A$5:$A$96,0)),"")</f>
        <v/>
      </c>
      <c r="AL102" s="102" t="str">
        <f>IFERROR(INDEX('I2017'!L$5:L$96,MATCH($C102,'I2017'!$A$5:$A$96,0)),"")</f>
        <v/>
      </c>
      <c r="AM102" s="102" t="str">
        <f>IFERROR(INDEX('I2017'!M$5:M$96,MATCH($C102,'I2017'!$A$5:$A$96,0)),"")</f>
        <v/>
      </c>
      <c r="AN102" s="102" t="str">
        <f>IFERROR(INDEX('I2018'!B$5:B$107,MATCH($C102,'I2018'!$A$5:$A$107,0)),"")</f>
        <v/>
      </c>
      <c r="AO102" s="102" t="str">
        <f>IFERROR(INDEX('I2018'!C$5:C$107,MATCH($C102,'I2018'!$A$5:$A$107,0)),"")</f>
        <v/>
      </c>
      <c r="AP102" s="102" t="str">
        <f>IFERROR(INDEX('I2018'!D$5:D$107,MATCH($C102,'I2018'!$A$5:$A$107,0)),"")</f>
        <v/>
      </c>
      <c r="AQ102" s="102" t="str">
        <f>IFERROR(INDEX('I2018'!E$5:E$107,MATCH($C102,'I2018'!$A$5:$A$107,0)),"")</f>
        <v/>
      </c>
      <c r="AR102" s="102" t="str">
        <f>IFERROR(INDEX('I2018'!F$5:F$107,MATCH($C102,'I2018'!$A$5:$A$107,0)),"")</f>
        <v/>
      </c>
      <c r="AS102" s="102" t="str">
        <f>IFERROR(INDEX('I2018'!G$5:G$107,MATCH($C102,'I2018'!$A$5:$A$107,0)),"")</f>
        <v/>
      </c>
      <c r="AT102" s="102" t="str">
        <f>IFERROR(INDEX('I2018'!H$5:H$107,MATCH($C102,'I2018'!$A$5:$A$107,0)),"")</f>
        <v/>
      </c>
      <c r="AU102" s="102" t="str">
        <f>IFERROR(INDEX('I2018'!I$5:I$107,MATCH($C102,'I2018'!$A$5:$A$107,0)),"")</f>
        <v/>
      </c>
      <c r="AV102" s="102" t="str">
        <f>IFERROR(INDEX('I2018'!J$5:J$107,MATCH($C102,'I2018'!$A$5:$A$107,0)),"")</f>
        <v/>
      </c>
      <c r="AW102" s="102" t="str">
        <f>IFERROR(INDEX('I2018'!K$5:K$107,MATCH($C102,'I2018'!$A$5:$A$107,0)),"")</f>
        <v/>
      </c>
      <c r="AX102" s="102" t="str">
        <f>IFERROR(INDEX('I2018'!L$5:L$107,MATCH($C102,'I2018'!$A$5:$A$107,0)),"")</f>
        <v/>
      </c>
      <c r="AY102" s="102" t="str">
        <f>IFERROR(INDEX('I2018'!M$5:M$107,MATCH($C102,'I2018'!$A$5:$A$107,0)),"")</f>
        <v/>
      </c>
      <c r="AZ102" s="102">
        <f>IFERROR(INDEX('I2019'!B$5:B$112,MATCH($C102,'I2019'!$A$5:$A$112,0)),"")</f>
        <v>0</v>
      </c>
      <c r="BA102" s="102">
        <f>IFERROR(INDEX('I2019'!C$5:C$112,MATCH($C102,'I2019'!$A$5:$A$112,0)),"")</f>
        <v>0</v>
      </c>
      <c r="BB102" s="102">
        <f>IFERROR(INDEX('I2019'!D$5:D$112,MATCH($C102,'I2019'!$A$5:$A$112,0)),"")</f>
        <v>200</v>
      </c>
      <c r="BC102" s="102">
        <f>IFERROR(INDEX('I2019'!E$5:E$112,MATCH($C102,'I2019'!$A$5:$A$112,0)),"")</f>
        <v>4376</v>
      </c>
      <c r="BD102" s="102">
        <f>IFERROR(INDEX('I2019'!F$5:F$112,MATCH($C102,'I2019'!$A$5:$A$112,0)),"")</f>
        <v>1180.5</v>
      </c>
      <c r="BE102" s="102">
        <f>IFERROR(INDEX('I2019'!G$5:G$112,MATCH($C102,'I2019'!$A$5:$A$112,0)),"")</f>
        <v>1456</v>
      </c>
      <c r="BF102" s="102">
        <f>IFERROR(INDEX('I2019'!H$5:H$112,MATCH($C102,'I2019'!$A$5:$A$112,0)),"")</f>
        <v>5690</v>
      </c>
      <c r="BG102" s="102">
        <f>IFERROR(INDEX('I2019'!I$5:I$112,MATCH($C102,'I2019'!$A$5:$A$112,0)),"")</f>
        <v>5068</v>
      </c>
      <c r="BH102" s="102">
        <f>IFERROR(INDEX('I2019'!J$5:J$112,MATCH($C102,'I2019'!$A$5:$A$112,0)),"")</f>
        <v>2864.5</v>
      </c>
      <c r="BI102" s="102">
        <f>IFERROR(INDEX('I2019'!K$5:K$112,MATCH($C102,'I2019'!$A$5:$A$112,0)),"")</f>
        <v>6217.5</v>
      </c>
      <c r="BJ102" s="102">
        <f>IFERROR(INDEX('I2019'!L$5:L$112,MATCH($C102,'I2019'!$A$5:$A$112,0)),"")</f>
        <v>1798.5</v>
      </c>
      <c r="BK102" s="102">
        <f>IFERROR(INDEX('I2019'!M$5:M$112,MATCH($C102,'I2019'!$A$5:$A$112,0)),"")</f>
        <v>0</v>
      </c>
      <c r="BL102" s="102">
        <f>IFERROR(INDEX('I2020'!B$5:B$113,MATCH($C102,'I2020'!$A$5:$A$113,0)),"")</f>
        <v>2505</v>
      </c>
      <c r="BM102" s="102">
        <f>IFERROR(INDEX('I2020'!C$5:C$113,MATCH($C102,'I2020'!$A$5:$A$113,0)),"")</f>
        <v>3500</v>
      </c>
      <c r="BN102" s="102">
        <f>IFERROR(INDEX('I2020'!D$5:D$113,MATCH($C102,'I2020'!$A$5:$A$113,0)),"")</f>
        <v>0</v>
      </c>
      <c r="BO102" s="102">
        <f>IFERROR(INDEX('I2020'!E$5:E$113,MATCH($C102,'I2020'!$A$5:$A$113,0)),"")</f>
        <v>0</v>
      </c>
      <c r="BP102" s="102">
        <f>IFERROR(INDEX('I2020'!F$5:F$113,MATCH($C102,'I2020'!$A$5:$A$113,0)),"")</f>
        <v>3500</v>
      </c>
      <c r="BQ102" s="392">
        <f>IFERROR(INDEX('I2020'!G$5:G$113,MATCH($C102,'I2020'!$A$5:$A$113,0)),"")</f>
        <v>0</v>
      </c>
      <c r="BR102" s="64"/>
      <c r="BS102" s="64"/>
      <c r="BT102" s="64"/>
      <c r="BU102" s="64"/>
      <c r="BV102" s="64"/>
      <c r="BW102" s="64"/>
      <c r="BX102" s="64"/>
      <c r="BY102" s="64"/>
      <c r="BZ102" s="64"/>
      <c r="CA102" s="64"/>
      <c r="CB102" s="64"/>
      <c r="CC102" s="64"/>
      <c r="CD102" s="64"/>
      <c r="CE102" s="64"/>
      <c r="CF102" s="64"/>
      <c r="CG102" s="64"/>
      <c r="CH102" s="64"/>
      <c r="CI102" s="124"/>
      <c r="CJ102" s="134"/>
    </row>
    <row r="103" spans="1:88" x14ac:dyDescent="0.3">
      <c r="A103" s="33"/>
      <c r="B103" s="68"/>
      <c r="C103" s="21" t="s">
        <v>75</v>
      </c>
      <c r="D103" s="102" t="str">
        <f>IFERROR(INDEX('I2015'!B$5:B$73,MATCH($C103,'I2015'!$A$5:$A$73,0)),"")</f>
        <v/>
      </c>
      <c r="E103" s="102" t="str">
        <f>IFERROR(INDEX('I2015'!C$5:C$73,MATCH($C103,'I2015'!$A$5:$A$73,0)),"")</f>
        <v/>
      </c>
      <c r="F103" s="102" t="str">
        <f>IFERROR(INDEX('I2015'!D$5:D$73,MATCH($C103,'I2015'!$A$5:$A$73,0)),"")</f>
        <v/>
      </c>
      <c r="G103" s="102" t="str">
        <f>IFERROR(INDEX('I2015'!E$5:E$73,MATCH($C103,'I2015'!$A$5:$A$73,0)),"")</f>
        <v/>
      </c>
      <c r="H103" s="102" t="str">
        <f>IFERROR(INDEX('I2015'!F$5:F$73,MATCH($C103,'I2015'!$A$5:$A$73,0)),"")</f>
        <v/>
      </c>
      <c r="I103" s="102" t="str">
        <f>IFERROR(INDEX('I2015'!G$5:G$73,MATCH($C103,'I2015'!$A$5:$A$73,0)),"")</f>
        <v/>
      </c>
      <c r="J103" s="102" t="str">
        <f>IFERROR(INDEX('I2015'!H$5:H$73,MATCH($C103,'I2015'!$A$5:$A$73,0)),"")</f>
        <v/>
      </c>
      <c r="K103" s="102" t="str">
        <f>IFERROR(INDEX('I2015'!I$5:I$73,MATCH($C103,'I2015'!$A$5:$A$73,0)),"")</f>
        <v/>
      </c>
      <c r="L103" s="102" t="str">
        <f>IFERROR(INDEX('I2015'!J$5:J$73,MATCH($C103,'I2015'!$A$5:$A$73,0)),"")</f>
        <v/>
      </c>
      <c r="M103" s="102" t="str">
        <f>IFERROR(INDEX('I2015'!K$5:K$73,MATCH($C103,'I2015'!$A$5:$A$73,0)),"")</f>
        <v/>
      </c>
      <c r="N103" s="102" t="str">
        <f>IFERROR(INDEX('I2015'!L$5:L$73,MATCH($C103,'I2015'!$A$5:$A$73,0)),"")</f>
        <v/>
      </c>
      <c r="O103" s="102" t="str">
        <f>IFERROR(INDEX('I2015'!M$5:M$73,MATCH($C103,'I2015'!$A$5:$A$73,0)),"")</f>
        <v/>
      </c>
      <c r="P103" s="102" t="str">
        <f>IFERROR(INDEX('I2016'!B$5:B$90,MATCH($C103,'I2016'!$A$5:$A$90,0)),"")</f>
        <v/>
      </c>
      <c r="Q103" s="102" t="str">
        <f>IFERROR(INDEX('I2016'!C$5:C$90,MATCH($C103,'I2016'!$A$5:$A$90,0)),"")</f>
        <v/>
      </c>
      <c r="R103" s="102" t="str">
        <f>IFERROR(INDEX('I2016'!D$5:D$90,MATCH($C103,'I2016'!$A$5:$A$90,0)),"")</f>
        <v/>
      </c>
      <c r="S103" s="102" t="str">
        <f>IFERROR(INDEX('I2016'!E$5:E$90,MATCH($C103,'I2016'!$A$5:$A$90,0)),"")</f>
        <v/>
      </c>
      <c r="T103" s="102" t="str">
        <f>IFERROR(INDEX('I2016'!F$5:F$90,MATCH($C103,'I2016'!$A$5:$A$90,0)),"")</f>
        <v/>
      </c>
      <c r="U103" s="102" t="str">
        <f>IFERROR(INDEX('I2016'!G$5:G$90,MATCH($C103,'I2016'!$A$5:$A$90,0)),"")</f>
        <v/>
      </c>
      <c r="V103" s="102" t="str">
        <f>IFERROR(INDEX('I2016'!H$5:H$90,MATCH($C103,'I2016'!$A$5:$A$90,0)),"")</f>
        <v/>
      </c>
      <c r="W103" s="102" t="str">
        <f>IFERROR(INDEX('I2016'!I$5:I$90,MATCH($C103,'I2016'!$A$5:$A$90,0)),"")</f>
        <v/>
      </c>
      <c r="X103" s="102" t="str">
        <f>IFERROR(INDEX('I2016'!J$5:J$90,MATCH($C103,'I2016'!$A$5:$A$90,0)),"")</f>
        <v/>
      </c>
      <c r="Y103" s="102" t="str">
        <f>IFERROR(INDEX('I2016'!K$5:K$90,MATCH($C103,'I2016'!$A$5:$A$90,0)),"")</f>
        <v/>
      </c>
      <c r="Z103" s="102" t="str">
        <f>IFERROR(INDEX('I2016'!L$5:L$90,MATCH($C103,'I2016'!$A$5:$A$90,0)),"")</f>
        <v/>
      </c>
      <c r="AA103" s="102" t="str">
        <f>IFERROR(INDEX('I2016'!M$5:M$90,MATCH($C103,'I2016'!$A$5:$A$90,0)),"")</f>
        <v/>
      </c>
      <c r="AB103" s="102">
        <f>IFERROR(INDEX('I2017'!B$5:B$96,MATCH($C103,'I2017'!$A$5:$A$96,0)),"")</f>
        <v>49866.080000000002</v>
      </c>
      <c r="AC103" s="102">
        <f>IFERROR(INDEX('I2017'!C$5:C$96,MATCH($C103,'I2017'!$A$5:$A$96,0)),"")</f>
        <v>39063.25</v>
      </c>
      <c r="AD103" s="102">
        <f>IFERROR(INDEX('I2017'!D$5:D$96,MATCH($C103,'I2017'!$A$5:$A$96,0)),"")</f>
        <v>44488.49</v>
      </c>
      <c r="AE103" s="102">
        <f>IFERROR(INDEX('I2017'!E$5:E$96,MATCH($C103,'I2017'!$A$5:$A$96,0)),"")</f>
        <v>41870.949999999997</v>
      </c>
      <c r="AF103" s="102">
        <f>IFERROR(INDEX('I2017'!F$5:F$96,MATCH($C103,'I2017'!$A$5:$A$96,0)),"")</f>
        <v>47318.11</v>
      </c>
      <c r="AG103" s="102">
        <f>IFERROR(INDEX('I2017'!G$5:G$96,MATCH($C103,'I2017'!$A$5:$A$96,0)),"")</f>
        <v>46544.98</v>
      </c>
      <c r="AH103" s="102">
        <f>IFERROR(INDEX('I2017'!H$5:H$96,MATCH($C103,'I2017'!$A$5:$A$96,0)),"")</f>
        <v>59479.71</v>
      </c>
      <c r="AI103" s="102">
        <f>IFERROR(INDEX('I2017'!I$5:I$96,MATCH($C103,'I2017'!$A$5:$A$96,0)),"")</f>
        <v>77114.539999999994</v>
      </c>
      <c r="AJ103" s="102">
        <f>IFERROR(INDEX('I2017'!J$5:J$96,MATCH($C103,'I2017'!$A$5:$A$96,0)),"")</f>
        <v>78183.02</v>
      </c>
      <c r="AK103" s="102">
        <f>IFERROR(INDEX('I2017'!K$5:K$96,MATCH($C103,'I2017'!$A$5:$A$96,0)),"")</f>
        <v>77576.179999999993</v>
      </c>
      <c r="AL103" s="102">
        <f>IFERROR(INDEX('I2017'!L$5:L$96,MATCH($C103,'I2017'!$A$5:$A$96,0)),"")</f>
        <v>81760.289999999994</v>
      </c>
      <c r="AM103" s="102">
        <f>IFERROR(INDEX('I2017'!M$5:M$96,MATCH($C103,'I2017'!$A$5:$A$96,0)),"")</f>
        <v>82439.520000000004</v>
      </c>
      <c r="AN103" s="102">
        <f>IFERROR(INDEX('I2018'!B$5:B$107,MATCH($C103,'I2018'!$A$5:$A$107,0)),"")</f>
        <v>118000</v>
      </c>
      <c r="AO103" s="102">
        <f>IFERROR(INDEX('I2018'!C$5:C$107,MATCH($C103,'I2018'!$A$5:$A$107,0)),"")</f>
        <v>178500.1</v>
      </c>
      <c r="AP103" s="102">
        <f>IFERROR(INDEX('I2018'!D$5:D$107,MATCH($C103,'I2018'!$A$5:$A$107,0)),"")</f>
        <v>211499.9</v>
      </c>
      <c r="AQ103" s="102">
        <f>IFERROR(INDEX('I2018'!E$5:E$107,MATCH($C103,'I2018'!$A$5:$A$107,0)),"")</f>
        <v>130135.49</v>
      </c>
      <c r="AR103" s="102">
        <f>IFERROR(INDEX('I2018'!F$5:F$107,MATCH($C103,'I2018'!$A$5:$A$107,0)),"")</f>
        <v>207947.34</v>
      </c>
      <c r="AS103" s="102">
        <f>IFERROR(INDEX('I2018'!G$5:G$107,MATCH($C103,'I2018'!$A$5:$A$107,0)),"")</f>
        <v>273556.82</v>
      </c>
      <c r="AT103" s="102">
        <f>IFERROR(INDEX('I2018'!H$5:H$107,MATCH($C103,'I2018'!$A$5:$A$107,0)),"")</f>
        <v>298911.71000000002</v>
      </c>
      <c r="AU103" s="102">
        <f>IFERROR(INDEX('I2018'!I$5:I$107,MATCH($C103,'I2018'!$A$5:$A$107,0)),"")</f>
        <v>206177.08</v>
      </c>
      <c r="AV103" s="102">
        <f>IFERROR(INDEX('I2018'!J$5:J$107,MATCH($C103,'I2018'!$A$5:$A$107,0)),"")</f>
        <v>430522.45</v>
      </c>
      <c r="AW103" s="102">
        <f>IFERROR(INDEX('I2018'!K$5:K$107,MATCH($C103,'I2018'!$A$5:$A$107,0)),"")</f>
        <v>485759.35</v>
      </c>
      <c r="AX103" s="102">
        <f>IFERROR(INDEX('I2018'!L$5:L$107,MATCH($C103,'I2018'!$A$5:$A$107,0)),"")</f>
        <v>218307.58</v>
      </c>
      <c r="AY103" s="102">
        <f>IFERROR(INDEX('I2018'!M$5:M$107,MATCH($C103,'I2018'!$A$5:$A$107,0)),"")</f>
        <v>128417.22</v>
      </c>
      <c r="AZ103" s="102">
        <f>IFERROR(INDEX('I2019'!B$5:B$112,MATCH($C103,'I2019'!$A$5:$A$112,0)),"")</f>
        <v>190064.45</v>
      </c>
      <c r="BA103" s="102">
        <f>IFERROR(INDEX('I2019'!C$5:C$112,MATCH($C103,'I2019'!$A$5:$A$112,0)),"")</f>
        <v>192001.19</v>
      </c>
      <c r="BB103" s="102">
        <f>IFERROR(INDEX('I2019'!D$5:D$112,MATCH($C103,'I2019'!$A$5:$A$112,0)),"")</f>
        <v>256941.39</v>
      </c>
      <c r="BC103" s="102">
        <f>IFERROR(INDEX('I2019'!E$5:E$112,MATCH($C103,'I2019'!$A$5:$A$112,0)),"")</f>
        <v>236417.1</v>
      </c>
      <c r="BD103" s="102">
        <f>IFERROR(INDEX('I2019'!F$5:F$112,MATCH($C103,'I2019'!$A$5:$A$112,0)),"")</f>
        <v>164021.26999999999</v>
      </c>
      <c r="BE103" s="102">
        <f>IFERROR(INDEX('I2019'!G$5:G$112,MATCH($C103,'I2019'!$A$5:$A$112,0)),"")</f>
        <v>314605.94</v>
      </c>
      <c r="BF103" s="102">
        <f>IFERROR(INDEX('I2019'!H$5:H$112,MATCH($C103,'I2019'!$A$5:$A$112,0)),"")</f>
        <v>325613.03000000003</v>
      </c>
      <c r="BG103" s="102">
        <f>IFERROR(INDEX('I2019'!I$5:I$112,MATCH($C103,'I2019'!$A$5:$A$112,0)),"")</f>
        <v>285465.45</v>
      </c>
      <c r="BH103" s="102">
        <f>IFERROR(INDEX('I2019'!J$5:J$112,MATCH($C103,'I2019'!$A$5:$A$112,0)),"")</f>
        <v>346161.45</v>
      </c>
      <c r="BI103" s="102">
        <f>IFERROR(INDEX('I2019'!K$5:K$112,MATCH($C103,'I2019'!$A$5:$A$112,0)),"")</f>
        <v>259046.22</v>
      </c>
      <c r="BJ103" s="102">
        <f>IFERROR(INDEX('I2019'!L$5:L$112,MATCH($C103,'I2019'!$A$5:$A$112,0)),"")</f>
        <v>293925.19</v>
      </c>
      <c r="BK103" s="102">
        <f>IFERROR(INDEX('I2019'!M$5:M$112,MATCH($C103,'I2019'!$A$5:$A$112,0)),"")</f>
        <v>285176.40999999997</v>
      </c>
      <c r="BL103" s="102">
        <f>IFERROR(INDEX('I2020'!B$5:B$113,MATCH($C103,'I2020'!$A$5:$A$113,0)),"")</f>
        <v>330516.24</v>
      </c>
      <c r="BM103" s="102">
        <f>IFERROR(INDEX('I2020'!C$5:C$113,MATCH($C103,'I2020'!$A$5:$A$113,0)),"")</f>
        <v>320494.8</v>
      </c>
      <c r="BN103" s="102">
        <f>IFERROR(INDEX('I2020'!D$5:D$113,MATCH($C103,'I2020'!$A$5:$A$113,0)),"")</f>
        <v>239955.19</v>
      </c>
      <c r="BO103" s="102">
        <f>IFERROR(INDEX('I2020'!E$5:E$113,MATCH($C103,'I2020'!$A$5:$A$113,0)),"")</f>
        <v>125762.99</v>
      </c>
      <c r="BP103" s="102">
        <f>IFERROR(INDEX('I2020'!F$5:F$113,MATCH($C103,'I2020'!$A$5:$A$113,0)),"")</f>
        <v>329703.55</v>
      </c>
      <c r="BQ103" s="392">
        <f>IFERROR(INDEX('I2020'!G$5:G$113,MATCH($C103,'I2020'!$A$5:$A$113,0)),"")</f>
        <v>337161.14</v>
      </c>
      <c r="BR103" s="64"/>
      <c r="BS103" s="64"/>
      <c r="BT103" s="64"/>
      <c r="BU103" s="64"/>
      <c r="BV103" s="64"/>
      <c r="BW103" s="64"/>
      <c r="BX103" s="64"/>
      <c r="BY103" s="64"/>
      <c r="BZ103" s="64"/>
      <c r="CA103" s="64"/>
      <c r="CB103" s="64"/>
      <c r="CC103" s="64"/>
      <c r="CD103" s="64"/>
      <c r="CE103" s="64"/>
      <c r="CF103" s="64"/>
      <c r="CG103" s="64"/>
      <c r="CH103" s="64"/>
      <c r="CI103" s="124"/>
      <c r="CJ103" s="134"/>
    </row>
    <row r="104" spans="1:88" x14ac:dyDescent="0.3">
      <c r="A104" s="33"/>
      <c r="B104" s="68"/>
      <c r="C104" s="21" t="s">
        <v>76</v>
      </c>
      <c r="D104" s="102" t="str">
        <f>IFERROR(INDEX('I2015'!B$5:B$73,MATCH($C104,'I2015'!$A$5:$A$73,0)),"")</f>
        <v/>
      </c>
      <c r="E104" s="102" t="str">
        <f>IFERROR(INDEX('I2015'!C$5:C$73,MATCH($C104,'I2015'!$A$5:$A$73,0)),"")</f>
        <v/>
      </c>
      <c r="F104" s="102" t="str">
        <f>IFERROR(INDEX('I2015'!D$5:D$73,MATCH($C104,'I2015'!$A$5:$A$73,0)),"")</f>
        <v/>
      </c>
      <c r="G104" s="102" t="str">
        <f>IFERROR(INDEX('I2015'!E$5:E$73,MATCH($C104,'I2015'!$A$5:$A$73,0)),"")</f>
        <v/>
      </c>
      <c r="H104" s="102" t="str">
        <f>IFERROR(INDEX('I2015'!F$5:F$73,MATCH($C104,'I2015'!$A$5:$A$73,0)),"")</f>
        <v/>
      </c>
      <c r="I104" s="102" t="str">
        <f>IFERROR(INDEX('I2015'!G$5:G$73,MATCH($C104,'I2015'!$A$5:$A$73,0)),"")</f>
        <v/>
      </c>
      <c r="J104" s="102" t="str">
        <f>IFERROR(INDEX('I2015'!H$5:H$73,MATCH($C104,'I2015'!$A$5:$A$73,0)),"")</f>
        <v/>
      </c>
      <c r="K104" s="102" t="str">
        <f>IFERROR(INDEX('I2015'!I$5:I$73,MATCH($C104,'I2015'!$A$5:$A$73,0)),"")</f>
        <v/>
      </c>
      <c r="L104" s="102" t="str">
        <f>IFERROR(INDEX('I2015'!J$5:J$73,MATCH($C104,'I2015'!$A$5:$A$73,0)),"")</f>
        <v/>
      </c>
      <c r="M104" s="102" t="str">
        <f>IFERROR(INDEX('I2015'!K$5:K$73,MATCH($C104,'I2015'!$A$5:$A$73,0)),"")</f>
        <v/>
      </c>
      <c r="N104" s="102" t="str">
        <f>IFERROR(INDEX('I2015'!L$5:L$73,MATCH($C104,'I2015'!$A$5:$A$73,0)),"")</f>
        <v/>
      </c>
      <c r="O104" s="102" t="str">
        <f>IFERROR(INDEX('I2015'!M$5:M$73,MATCH($C104,'I2015'!$A$5:$A$73,0)),"")</f>
        <v/>
      </c>
      <c r="P104" s="102">
        <f>IFERROR(INDEX('I2016'!B$5:B$90,MATCH($C104,'I2016'!$A$5:$A$90,0)),"")</f>
        <v>0</v>
      </c>
      <c r="Q104" s="102">
        <f>IFERROR(INDEX('I2016'!C$5:C$90,MATCH($C104,'I2016'!$A$5:$A$90,0)),"")</f>
        <v>0</v>
      </c>
      <c r="R104" s="102">
        <f>IFERROR(INDEX('I2016'!D$5:D$90,MATCH($C104,'I2016'!$A$5:$A$90,0)),"")</f>
        <v>0</v>
      </c>
      <c r="S104" s="102">
        <f>IFERROR(INDEX('I2016'!E$5:E$90,MATCH($C104,'I2016'!$A$5:$A$90,0)),"")</f>
        <v>0</v>
      </c>
      <c r="T104" s="102">
        <f>IFERROR(INDEX('I2016'!F$5:F$90,MATCH($C104,'I2016'!$A$5:$A$90,0)),"")</f>
        <v>0</v>
      </c>
      <c r="U104" s="102">
        <f>IFERROR(INDEX('I2016'!G$5:G$90,MATCH($C104,'I2016'!$A$5:$A$90,0)),"")</f>
        <v>49.95</v>
      </c>
      <c r="V104" s="102">
        <f>IFERROR(INDEX('I2016'!H$5:H$90,MATCH($C104,'I2016'!$A$5:$A$90,0)),"")</f>
        <v>49.95</v>
      </c>
      <c r="W104" s="102">
        <f>IFERROR(INDEX('I2016'!I$5:I$90,MATCH($C104,'I2016'!$A$5:$A$90,0)),"")</f>
        <v>55.43</v>
      </c>
      <c r="X104" s="102">
        <f>IFERROR(INDEX('I2016'!J$5:J$90,MATCH($C104,'I2016'!$A$5:$A$90,0)),"")</f>
        <v>59.95</v>
      </c>
      <c r="Y104" s="102">
        <f>IFERROR(INDEX('I2016'!K$5:K$90,MATCH($C104,'I2016'!$A$5:$A$90,0)),"")</f>
        <v>59.95</v>
      </c>
      <c r="Z104" s="102">
        <f>IFERROR(INDEX('I2016'!L$5:L$90,MATCH($C104,'I2016'!$A$5:$A$90,0)),"")</f>
        <v>0</v>
      </c>
      <c r="AA104" s="102">
        <f>IFERROR(INDEX('I2016'!M$5:M$90,MATCH($C104,'I2016'!$A$5:$A$90,0)),"")</f>
        <v>109.95</v>
      </c>
      <c r="AB104" s="102">
        <f>IFERROR(INDEX('I2017'!B$5:B$96,MATCH($C104,'I2017'!$A$5:$A$96,0)),"")</f>
        <v>3146.94</v>
      </c>
      <c r="AC104" s="102">
        <f>IFERROR(INDEX('I2017'!C$5:C$96,MATCH($C104,'I2017'!$A$5:$A$96,0)),"")</f>
        <v>248.2</v>
      </c>
      <c r="AD104" s="102">
        <f>IFERROR(INDEX('I2017'!D$5:D$96,MATCH($C104,'I2017'!$A$5:$A$96,0)),"")</f>
        <v>1080.44</v>
      </c>
      <c r="AE104" s="102">
        <f>IFERROR(INDEX('I2017'!E$5:E$96,MATCH($C104,'I2017'!$A$5:$A$96,0)),"")</f>
        <v>250.22</v>
      </c>
      <c r="AF104" s="102">
        <f>IFERROR(INDEX('I2017'!F$5:F$96,MATCH($C104,'I2017'!$A$5:$A$96,0)),"")</f>
        <v>666.95</v>
      </c>
      <c r="AG104" s="102">
        <f>IFERROR(INDEX('I2017'!G$5:G$96,MATCH($C104,'I2017'!$A$5:$A$96,0)),"")</f>
        <v>417.95</v>
      </c>
      <c r="AH104" s="102">
        <f>IFERROR(INDEX('I2017'!H$5:H$96,MATCH($C104,'I2017'!$A$5:$A$96,0)),"")</f>
        <v>880.78</v>
      </c>
      <c r="AI104" s="102">
        <f>IFERROR(INDEX('I2017'!I$5:I$96,MATCH($C104,'I2017'!$A$5:$A$96,0)),"")</f>
        <v>249.95</v>
      </c>
      <c r="AJ104" s="102">
        <f>IFERROR(INDEX('I2017'!J$5:J$96,MATCH($C104,'I2017'!$A$5:$A$96,0)),"")</f>
        <v>420.07</v>
      </c>
      <c r="AK104" s="102">
        <f>IFERROR(INDEX('I2017'!K$5:K$96,MATCH($C104,'I2017'!$A$5:$A$96,0)),"")</f>
        <v>221.07</v>
      </c>
      <c r="AL104" s="102">
        <f>IFERROR(INDEX('I2017'!L$5:L$96,MATCH($C104,'I2017'!$A$5:$A$96,0)),"")</f>
        <v>1555.19</v>
      </c>
      <c r="AM104" s="102">
        <f>IFERROR(INDEX('I2017'!M$5:M$96,MATCH($C104,'I2017'!$A$5:$A$96,0)),"")</f>
        <v>453.95</v>
      </c>
      <c r="AN104" s="102">
        <f>IFERROR(INDEX('I2018'!B$5:B$107,MATCH($C104,'I2018'!$A$5:$A$107,0)),"")</f>
        <v>378.95</v>
      </c>
      <c r="AO104" s="102">
        <f>IFERROR(INDEX('I2018'!C$5:C$107,MATCH($C104,'I2018'!$A$5:$A$107,0)),"")</f>
        <v>528.95000000000005</v>
      </c>
      <c r="AP104" s="102">
        <f>IFERROR(INDEX('I2018'!D$5:D$107,MATCH($C104,'I2018'!$A$5:$A$107,0)),"")</f>
        <v>1117.76</v>
      </c>
      <c r="AQ104" s="102">
        <f>IFERROR(INDEX('I2018'!E$5:E$107,MATCH($C104,'I2018'!$A$5:$A$107,0)),"")</f>
        <v>891.9</v>
      </c>
      <c r="AR104" s="102">
        <f>IFERROR(INDEX('I2018'!F$5:F$107,MATCH($C104,'I2018'!$A$5:$A$107,0)),"")</f>
        <v>1286.48</v>
      </c>
      <c r="AS104" s="102">
        <f>IFERROR(INDEX('I2018'!G$5:G$107,MATCH($C104,'I2018'!$A$5:$A$107,0)),"")</f>
        <v>900.48</v>
      </c>
      <c r="AT104" s="102">
        <f>IFERROR(INDEX('I2018'!H$5:H$107,MATCH($C104,'I2018'!$A$5:$A$107,0)),"")</f>
        <v>1334.48</v>
      </c>
      <c r="AU104" s="102">
        <f>IFERROR(INDEX('I2018'!I$5:I$107,MATCH($C104,'I2018'!$A$5:$A$107,0)),"")</f>
        <v>1498.48</v>
      </c>
      <c r="AV104" s="102">
        <f>IFERROR(INDEX('I2018'!J$5:J$107,MATCH($C104,'I2018'!$A$5:$A$107,0)),"")</f>
        <v>1191.48</v>
      </c>
      <c r="AW104" s="102">
        <f>IFERROR(INDEX('I2018'!K$5:K$107,MATCH($C104,'I2018'!$A$5:$A$107,0)),"")</f>
        <v>1772.48</v>
      </c>
      <c r="AX104" s="102">
        <f>IFERROR(INDEX('I2018'!L$5:L$107,MATCH($C104,'I2018'!$A$5:$A$107,0)),"")</f>
        <v>1314.48</v>
      </c>
      <c r="AY104" s="102">
        <f>IFERROR(INDEX('I2018'!M$5:M$107,MATCH($C104,'I2018'!$A$5:$A$107,0)),"")</f>
        <v>3393.48</v>
      </c>
      <c r="AZ104" s="102">
        <f>IFERROR(INDEX('I2019'!B$5:B$112,MATCH($C104,'I2019'!$A$5:$A$112,0)),"")</f>
        <v>3404.14</v>
      </c>
      <c r="BA104" s="102">
        <f>IFERROR(INDEX('I2019'!C$5:C$112,MATCH($C104,'I2019'!$A$5:$A$112,0)),"")</f>
        <v>3006.14</v>
      </c>
      <c r="BB104" s="102">
        <f>IFERROR(INDEX('I2019'!D$5:D$112,MATCH($C104,'I2019'!$A$5:$A$112,0)),"")</f>
        <v>3723.14</v>
      </c>
      <c r="BC104" s="102">
        <f>IFERROR(INDEX('I2019'!E$5:E$112,MATCH($C104,'I2019'!$A$5:$A$112,0)),"")</f>
        <v>3395.87</v>
      </c>
      <c r="BD104" s="102">
        <f>IFERROR(INDEX('I2019'!F$5:F$112,MATCH($C104,'I2019'!$A$5:$A$112,0)),"")</f>
        <v>3333.67</v>
      </c>
      <c r="BE104" s="102">
        <f>IFERROR(INDEX('I2019'!G$5:G$112,MATCH($C104,'I2019'!$A$5:$A$112,0)),"")</f>
        <v>5995.57</v>
      </c>
      <c r="BF104" s="102">
        <f>IFERROR(INDEX('I2019'!H$5:H$112,MATCH($C104,'I2019'!$A$5:$A$112,0)),"")</f>
        <v>7912.57</v>
      </c>
      <c r="BG104" s="102">
        <f>IFERROR(INDEX('I2019'!I$5:I$112,MATCH($C104,'I2019'!$A$5:$A$112,0)),"")</f>
        <v>8644.57</v>
      </c>
      <c r="BH104" s="102">
        <f>IFERROR(INDEX('I2019'!J$5:J$112,MATCH($C104,'I2019'!$A$5:$A$112,0)),"")</f>
        <v>8044.57</v>
      </c>
      <c r="BI104" s="102">
        <f>IFERROR(INDEX('I2019'!K$5:K$112,MATCH($C104,'I2019'!$A$5:$A$112,0)),"")</f>
        <v>9057.52</v>
      </c>
      <c r="BJ104" s="102">
        <f>IFERROR(INDEX('I2019'!L$5:L$112,MATCH($C104,'I2019'!$A$5:$A$112,0)),"")</f>
        <v>6587.52</v>
      </c>
      <c r="BK104" s="102">
        <f>IFERROR(INDEX('I2019'!M$5:M$112,MATCH($C104,'I2019'!$A$5:$A$112,0)),"")</f>
        <v>9589.66</v>
      </c>
      <c r="BL104" s="102">
        <f>IFERROR(INDEX('I2020'!B$5:B$113,MATCH($C104,'I2020'!$A$5:$A$113,0)),"")</f>
        <v>7614.66</v>
      </c>
      <c r="BM104" s="102">
        <f>IFERROR(INDEX('I2020'!C$5:C$113,MATCH($C104,'I2020'!$A$5:$A$113,0)),"")</f>
        <v>5205.66</v>
      </c>
      <c r="BN104" s="102">
        <f>IFERROR(INDEX('I2020'!D$5:D$113,MATCH($C104,'I2020'!$A$5:$A$113,0)),"")</f>
        <v>5983.66</v>
      </c>
      <c r="BO104" s="102">
        <f>IFERROR(INDEX('I2020'!E$5:E$113,MATCH($C104,'I2020'!$A$5:$A$113,0)),"")</f>
        <v>5462.14</v>
      </c>
      <c r="BP104" s="102">
        <f>IFERROR(INDEX('I2020'!F$5:F$113,MATCH($C104,'I2020'!$A$5:$A$113,0)),"")</f>
        <v>6420.14</v>
      </c>
      <c r="BQ104" s="392">
        <f>IFERROR(INDEX('I2020'!G$5:G$113,MATCH($C104,'I2020'!$A$5:$A$113,0)),"")</f>
        <v>5187.1400000000003</v>
      </c>
      <c r="BR104" s="64"/>
      <c r="BS104" s="64"/>
      <c r="BT104" s="64"/>
      <c r="BU104" s="64"/>
      <c r="BV104" s="64"/>
      <c r="BW104" s="64"/>
      <c r="BX104" s="64"/>
      <c r="BY104" s="64"/>
      <c r="BZ104" s="64"/>
      <c r="CA104" s="64"/>
      <c r="CB104" s="64"/>
      <c r="CC104" s="64"/>
      <c r="CD104" s="64"/>
      <c r="CE104" s="64"/>
      <c r="CF104" s="64"/>
      <c r="CG104" s="64"/>
      <c r="CH104" s="64"/>
      <c r="CI104" s="124"/>
      <c r="CJ104" s="134"/>
    </row>
    <row r="105" spans="1:88" x14ac:dyDescent="0.3">
      <c r="A105" s="33"/>
      <c r="B105" s="68"/>
      <c r="C105" s="21" t="s">
        <v>77</v>
      </c>
      <c r="D105" s="102" t="str">
        <f>IFERROR(INDEX('I2015'!B$5:B$73,MATCH($C105,'I2015'!$A$5:$A$73,0)),"")</f>
        <v/>
      </c>
      <c r="E105" s="102" t="str">
        <f>IFERROR(INDEX('I2015'!C$5:C$73,MATCH($C105,'I2015'!$A$5:$A$73,0)),"")</f>
        <v/>
      </c>
      <c r="F105" s="102" t="str">
        <f>IFERROR(INDEX('I2015'!D$5:D$73,MATCH($C105,'I2015'!$A$5:$A$73,0)),"")</f>
        <v/>
      </c>
      <c r="G105" s="102" t="str">
        <f>IFERROR(INDEX('I2015'!E$5:E$73,MATCH($C105,'I2015'!$A$5:$A$73,0)),"")</f>
        <v/>
      </c>
      <c r="H105" s="102" t="str">
        <f>IFERROR(INDEX('I2015'!F$5:F$73,MATCH($C105,'I2015'!$A$5:$A$73,0)),"")</f>
        <v/>
      </c>
      <c r="I105" s="102" t="str">
        <f>IFERROR(INDEX('I2015'!G$5:G$73,MATCH($C105,'I2015'!$A$5:$A$73,0)),"")</f>
        <v/>
      </c>
      <c r="J105" s="102" t="str">
        <f>IFERROR(INDEX('I2015'!H$5:H$73,MATCH($C105,'I2015'!$A$5:$A$73,0)),"")</f>
        <v/>
      </c>
      <c r="K105" s="102" t="str">
        <f>IFERROR(INDEX('I2015'!I$5:I$73,MATCH($C105,'I2015'!$A$5:$A$73,0)),"")</f>
        <v/>
      </c>
      <c r="L105" s="102" t="str">
        <f>IFERROR(INDEX('I2015'!J$5:J$73,MATCH($C105,'I2015'!$A$5:$A$73,0)),"")</f>
        <v/>
      </c>
      <c r="M105" s="102" t="str">
        <f>IFERROR(INDEX('I2015'!K$5:K$73,MATCH($C105,'I2015'!$A$5:$A$73,0)),"")</f>
        <v/>
      </c>
      <c r="N105" s="102" t="str">
        <f>IFERROR(INDEX('I2015'!L$5:L$73,MATCH($C105,'I2015'!$A$5:$A$73,0)),"")</f>
        <v/>
      </c>
      <c r="O105" s="102" t="str">
        <f>IFERROR(INDEX('I2015'!M$5:M$73,MATCH($C105,'I2015'!$A$5:$A$73,0)),"")</f>
        <v/>
      </c>
      <c r="P105" s="102">
        <f>IFERROR(INDEX('I2016'!B$5:B$90,MATCH($C105,'I2016'!$A$5:$A$90,0)),"")</f>
        <v>113.4</v>
      </c>
      <c r="Q105" s="102">
        <f>IFERROR(INDEX('I2016'!C$5:C$90,MATCH($C105,'I2016'!$A$5:$A$90,0)),"")</f>
        <v>76.790000000000006</v>
      </c>
      <c r="R105" s="102">
        <f>IFERROR(INDEX('I2016'!D$5:D$90,MATCH($C105,'I2016'!$A$5:$A$90,0)),"")</f>
        <v>0</v>
      </c>
      <c r="S105" s="102">
        <f>IFERROR(INDEX('I2016'!E$5:E$90,MATCH($C105,'I2016'!$A$5:$A$90,0)),"")</f>
        <v>0</v>
      </c>
      <c r="T105" s="102">
        <f>IFERROR(INDEX('I2016'!F$5:F$90,MATCH($C105,'I2016'!$A$5:$A$90,0)),"")</f>
        <v>0</v>
      </c>
      <c r="U105" s="102">
        <f>IFERROR(INDEX('I2016'!G$5:G$90,MATCH($C105,'I2016'!$A$5:$A$90,0)),"")</f>
        <v>35</v>
      </c>
      <c r="V105" s="102">
        <f>IFERROR(INDEX('I2016'!H$5:H$90,MATCH($C105,'I2016'!$A$5:$A$90,0)),"")</f>
        <v>0</v>
      </c>
      <c r="W105" s="102">
        <f>IFERROR(INDEX('I2016'!I$5:I$90,MATCH($C105,'I2016'!$A$5:$A$90,0)),"")</f>
        <v>116</v>
      </c>
      <c r="X105" s="102">
        <f>IFERROR(INDEX('I2016'!J$5:J$90,MATCH($C105,'I2016'!$A$5:$A$90,0)),"")</f>
        <v>98</v>
      </c>
      <c r="Y105" s="102">
        <f>IFERROR(INDEX('I2016'!K$5:K$90,MATCH($C105,'I2016'!$A$5:$A$90,0)),"")</f>
        <v>59</v>
      </c>
      <c r="Z105" s="102">
        <f>IFERROR(INDEX('I2016'!L$5:L$90,MATCH($C105,'I2016'!$A$5:$A$90,0)),"")</f>
        <v>143.94</v>
      </c>
      <c r="AA105" s="102">
        <f>IFERROR(INDEX('I2016'!M$5:M$90,MATCH($C105,'I2016'!$A$5:$A$90,0)),"")</f>
        <v>1034.48</v>
      </c>
      <c r="AB105" s="102" t="str">
        <f>IFERROR(INDEX('I2017'!B$5:B$96,MATCH($C105,'I2017'!$A$5:$A$96,0)),"")</f>
        <v/>
      </c>
      <c r="AC105" s="102" t="str">
        <f>IFERROR(INDEX('I2017'!C$5:C$96,MATCH($C105,'I2017'!$A$5:$A$96,0)),"")</f>
        <v/>
      </c>
      <c r="AD105" s="102" t="str">
        <f>IFERROR(INDEX('I2017'!D$5:D$96,MATCH($C105,'I2017'!$A$5:$A$96,0)),"")</f>
        <v/>
      </c>
      <c r="AE105" s="102" t="str">
        <f>IFERROR(INDEX('I2017'!E$5:E$96,MATCH($C105,'I2017'!$A$5:$A$96,0)),"")</f>
        <v/>
      </c>
      <c r="AF105" s="102" t="str">
        <f>IFERROR(INDEX('I2017'!F$5:F$96,MATCH($C105,'I2017'!$A$5:$A$96,0)),"")</f>
        <v/>
      </c>
      <c r="AG105" s="102" t="str">
        <f>IFERROR(INDEX('I2017'!G$5:G$96,MATCH($C105,'I2017'!$A$5:$A$96,0)),"")</f>
        <v/>
      </c>
      <c r="AH105" s="102" t="str">
        <f>IFERROR(INDEX('I2017'!H$5:H$96,MATCH($C105,'I2017'!$A$5:$A$96,0)),"")</f>
        <v/>
      </c>
      <c r="AI105" s="102" t="str">
        <f>IFERROR(INDEX('I2017'!I$5:I$96,MATCH($C105,'I2017'!$A$5:$A$96,0)),"")</f>
        <v/>
      </c>
      <c r="AJ105" s="102" t="str">
        <f>IFERROR(INDEX('I2017'!J$5:J$96,MATCH($C105,'I2017'!$A$5:$A$96,0)),"")</f>
        <v/>
      </c>
      <c r="AK105" s="102" t="str">
        <f>IFERROR(INDEX('I2017'!K$5:K$96,MATCH($C105,'I2017'!$A$5:$A$96,0)),"")</f>
        <v/>
      </c>
      <c r="AL105" s="102" t="str">
        <f>IFERROR(INDEX('I2017'!L$5:L$96,MATCH($C105,'I2017'!$A$5:$A$96,0)),"")</f>
        <v/>
      </c>
      <c r="AM105" s="102" t="str">
        <f>IFERROR(INDEX('I2017'!M$5:M$96,MATCH($C105,'I2017'!$A$5:$A$96,0)),"")</f>
        <v/>
      </c>
      <c r="AN105" s="102">
        <f>IFERROR(INDEX('I2018'!B$5:B$107,MATCH($C105,'I2018'!$A$5:$A$107,0)),"")</f>
        <v>4000</v>
      </c>
      <c r="AO105" s="102">
        <f>IFERROR(INDEX('I2018'!C$5:C$107,MATCH($C105,'I2018'!$A$5:$A$107,0)),"")</f>
        <v>4497</v>
      </c>
      <c r="AP105" s="102">
        <f>IFERROR(INDEX('I2018'!D$5:D$107,MATCH($C105,'I2018'!$A$5:$A$107,0)),"")</f>
        <v>4381.75</v>
      </c>
      <c r="AQ105" s="102">
        <f>IFERROR(INDEX('I2018'!E$5:E$107,MATCH($C105,'I2018'!$A$5:$A$107,0)),"")</f>
        <v>3993.4</v>
      </c>
      <c r="AR105" s="102">
        <f>IFERROR(INDEX('I2018'!F$5:F$107,MATCH($C105,'I2018'!$A$5:$A$107,0)),"")</f>
        <v>3892.52</v>
      </c>
      <c r="AS105" s="102">
        <f>IFERROR(INDEX('I2018'!G$5:G$107,MATCH($C105,'I2018'!$A$5:$A$107,0)),"")</f>
        <v>6012.53</v>
      </c>
      <c r="AT105" s="102">
        <f>IFERROR(INDEX('I2018'!H$5:H$107,MATCH($C105,'I2018'!$A$5:$A$107,0)),"")</f>
        <v>2086.9499999999998</v>
      </c>
      <c r="AU105" s="102">
        <f>IFERROR(INDEX('I2018'!I$5:I$107,MATCH($C105,'I2018'!$A$5:$A$107,0)),"")</f>
        <v>3000</v>
      </c>
      <c r="AV105" s="102">
        <f>IFERROR(INDEX('I2018'!J$5:J$107,MATCH($C105,'I2018'!$A$5:$A$107,0)),"")</f>
        <v>19000</v>
      </c>
      <c r="AW105" s="102">
        <f>IFERROR(INDEX('I2018'!K$5:K$107,MATCH($C105,'I2018'!$A$5:$A$107,0)),"")</f>
        <v>17460.650000000001</v>
      </c>
      <c r="AX105" s="102">
        <f>IFERROR(INDEX('I2018'!L$5:L$107,MATCH($C105,'I2018'!$A$5:$A$107,0)),"")</f>
        <v>0</v>
      </c>
      <c r="AY105" s="102">
        <f>IFERROR(INDEX('I2018'!M$5:M$107,MATCH($C105,'I2018'!$A$5:$A$107,0)),"")</f>
        <v>6</v>
      </c>
      <c r="AZ105" s="102">
        <f>IFERROR(INDEX('I2019'!B$5:B$112,MATCH($C105,'I2019'!$A$5:$A$112,0)),"")</f>
        <v>0</v>
      </c>
      <c r="BA105" s="102">
        <f>IFERROR(INDEX('I2019'!C$5:C$112,MATCH($C105,'I2019'!$A$5:$A$112,0)),"")</f>
        <v>0</v>
      </c>
      <c r="BB105" s="102">
        <f>IFERROR(INDEX('I2019'!D$5:D$112,MATCH($C105,'I2019'!$A$5:$A$112,0)),"")</f>
        <v>0</v>
      </c>
      <c r="BC105" s="102">
        <f>IFERROR(INDEX('I2019'!E$5:E$112,MATCH($C105,'I2019'!$A$5:$A$112,0)),"")</f>
        <v>0</v>
      </c>
      <c r="BD105" s="102">
        <f>IFERROR(INDEX('I2019'!F$5:F$112,MATCH($C105,'I2019'!$A$5:$A$112,0)),"")</f>
        <v>0</v>
      </c>
      <c r="BE105" s="102">
        <f>IFERROR(INDEX('I2019'!G$5:G$112,MATCH($C105,'I2019'!$A$5:$A$112,0)),"")</f>
        <v>750</v>
      </c>
      <c r="BF105" s="102">
        <f>IFERROR(INDEX('I2019'!H$5:H$112,MATCH($C105,'I2019'!$A$5:$A$112,0)),"")</f>
        <v>0</v>
      </c>
      <c r="BG105" s="102">
        <f>IFERROR(INDEX('I2019'!I$5:I$112,MATCH($C105,'I2019'!$A$5:$A$112,0)),"")</f>
        <v>1692.17</v>
      </c>
      <c r="BH105" s="102">
        <f>IFERROR(INDEX('I2019'!J$5:J$112,MATCH($C105,'I2019'!$A$5:$A$112,0)),"")</f>
        <v>0</v>
      </c>
      <c r="BI105" s="102">
        <f>IFERROR(INDEX('I2019'!K$5:K$112,MATCH($C105,'I2019'!$A$5:$A$112,0)),"")</f>
        <v>0</v>
      </c>
      <c r="BJ105" s="102">
        <f>IFERROR(INDEX('I2019'!L$5:L$112,MATCH($C105,'I2019'!$A$5:$A$112,0)),"")</f>
        <v>0</v>
      </c>
      <c r="BK105" s="102">
        <f>IFERROR(INDEX('I2019'!M$5:M$112,MATCH($C105,'I2019'!$A$5:$A$112,0)),"")</f>
        <v>0</v>
      </c>
      <c r="BL105" s="102">
        <f>IFERROR(INDEX('I2020'!B$5:B$113,MATCH($C105,'I2020'!$A$5:$A$113,0)),"")</f>
        <v>0</v>
      </c>
      <c r="BM105" s="102">
        <f>IFERROR(INDEX('I2020'!C$5:C$113,MATCH($C105,'I2020'!$A$5:$A$113,0)),"")</f>
        <v>0</v>
      </c>
      <c r="BN105" s="102">
        <f>IFERROR(INDEX('I2020'!D$5:D$113,MATCH($C105,'I2020'!$A$5:$A$113,0)),"")</f>
        <v>0</v>
      </c>
      <c r="BO105" s="102">
        <f>IFERROR(INDEX('I2020'!E$5:E$113,MATCH($C105,'I2020'!$A$5:$A$113,0)),"")</f>
        <v>0</v>
      </c>
      <c r="BP105" s="102">
        <f>IFERROR(INDEX('I2020'!F$5:F$113,MATCH($C105,'I2020'!$A$5:$A$113,0)),"")</f>
        <v>45</v>
      </c>
      <c r="BQ105" s="392">
        <f>IFERROR(INDEX('I2020'!G$5:G$113,MATCH($C105,'I2020'!$A$5:$A$113,0)),"")</f>
        <v>0</v>
      </c>
      <c r="BR105" s="64"/>
      <c r="BS105" s="64"/>
      <c r="BT105" s="64"/>
      <c r="BU105" s="64"/>
      <c r="BV105" s="64"/>
      <c r="BW105" s="64"/>
      <c r="BX105" s="64"/>
      <c r="BY105" s="64"/>
      <c r="BZ105" s="64"/>
      <c r="CA105" s="64"/>
      <c r="CB105" s="64"/>
      <c r="CC105" s="64"/>
      <c r="CD105" s="64"/>
      <c r="CE105" s="64"/>
      <c r="CF105" s="64"/>
      <c r="CG105" s="64"/>
      <c r="CH105" s="64"/>
      <c r="CI105" s="124"/>
      <c r="CJ105" s="134"/>
    </row>
    <row r="106" spans="1:88" x14ac:dyDescent="0.3">
      <c r="A106" s="33"/>
      <c r="B106" s="68"/>
      <c r="C106" s="21" t="s">
        <v>151</v>
      </c>
      <c r="D106" s="102" t="str">
        <f>IFERROR(INDEX('I2015'!B$5:B$73,MATCH($C106,'I2015'!$A$5:$A$73,0)),"")</f>
        <v/>
      </c>
      <c r="E106" s="102" t="str">
        <f>IFERROR(INDEX('I2015'!C$5:C$73,MATCH($C106,'I2015'!$A$5:$A$73,0)),"")</f>
        <v/>
      </c>
      <c r="F106" s="102" t="str">
        <f>IFERROR(INDEX('I2015'!D$5:D$73,MATCH($C106,'I2015'!$A$5:$A$73,0)),"")</f>
        <v/>
      </c>
      <c r="G106" s="102" t="str">
        <f>IFERROR(INDEX('I2015'!E$5:E$73,MATCH($C106,'I2015'!$A$5:$A$73,0)),"")</f>
        <v/>
      </c>
      <c r="H106" s="102" t="str">
        <f>IFERROR(INDEX('I2015'!F$5:F$73,MATCH($C106,'I2015'!$A$5:$A$73,0)),"")</f>
        <v/>
      </c>
      <c r="I106" s="102" t="str">
        <f>IFERROR(INDEX('I2015'!G$5:G$73,MATCH($C106,'I2015'!$A$5:$A$73,0)),"")</f>
        <v/>
      </c>
      <c r="J106" s="102" t="str">
        <f>IFERROR(INDEX('I2015'!H$5:H$73,MATCH($C106,'I2015'!$A$5:$A$73,0)),"")</f>
        <v/>
      </c>
      <c r="K106" s="102" t="str">
        <f>IFERROR(INDEX('I2015'!I$5:I$73,MATCH($C106,'I2015'!$A$5:$A$73,0)),"")</f>
        <v/>
      </c>
      <c r="L106" s="102" t="str">
        <f>IFERROR(INDEX('I2015'!J$5:J$73,MATCH($C106,'I2015'!$A$5:$A$73,0)),"")</f>
        <v/>
      </c>
      <c r="M106" s="102" t="str">
        <f>IFERROR(INDEX('I2015'!K$5:K$73,MATCH($C106,'I2015'!$A$5:$A$73,0)),"")</f>
        <v/>
      </c>
      <c r="N106" s="102" t="str">
        <f>IFERROR(INDEX('I2015'!L$5:L$73,MATCH($C106,'I2015'!$A$5:$A$73,0)),"")</f>
        <v/>
      </c>
      <c r="O106" s="102" t="str">
        <f>IFERROR(INDEX('I2015'!M$5:M$73,MATCH($C106,'I2015'!$A$5:$A$73,0)),"")</f>
        <v/>
      </c>
      <c r="P106" s="102">
        <f>IFERROR(INDEX('I2016'!B$5:B$90,MATCH($C106,'I2016'!$A$5:$A$90,0)),"")</f>
        <v>12691.5</v>
      </c>
      <c r="Q106" s="102">
        <f>IFERROR(INDEX('I2016'!C$5:C$90,MATCH($C106,'I2016'!$A$5:$A$90,0)),"")</f>
        <v>10331.15</v>
      </c>
      <c r="R106" s="102">
        <f>IFERROR(INDEX('I2016'!D$5:D$90,MATCH($C106,'I2016'!$A$5:$A$90,0)),"")</f>
        <v>8694.83</v>
      </c>
      <c r="S106" s="102">
        <f>IFERROR(INDEX('I2016'!E$5:E$90,MATCH($C106,'I2016'!$A$5:$A$90,0)),"")</f>
        <v>11771.71</v>
      </c>
      <c r="T106" s="102">
        <f>IFERROR(INDEX('I2016'!F$5:F$90,MATCH($C106,'I2016'!$A$5:$A$90,0)),"")</f>
        <v>19244.599999999999</v>
      </c>
      <c r="U106" s="102">
        <f>IFERROR(INDEX('I2016'!G$5:G$90,MATCH($C106,'I2016'!$A$5:$A$90,0)),"")</f>
        <v>17042.61</v>
      </c>
      <c r="V106" s="102">
        <f>IFERROR(INDEX('I2016'!H$5:H$90,MATCH($C106,'I2016'!$A$5:$A$90,0)),"")</f>
        <v>17540.650000000001</v>
      </c>
      <c r="W106" s="102">
        <f>IFERROR(INDEX('I2016'!I$5:I$90,MATCH($C106,'I2016'!$A$5:$A$90,0)),"")</f>
        <v>37502.31</v>
      </c>
      <c r="X106" s="102">
        <f>IFERROR(INDEX('I2016'!J$5:J$90,MATCH($C106,'I2016'!$A$5:$A$90,0)),"")</f>
        <v>42366.85</v>
      </c>
      <c r="Y106" s="102">
        <f>IFERROR(INDEX('I2016'!K$5:K$90,MATCH($C106,'I2016'!$A$5:$A$90,0)),"")</f>
        <v>35248.870000000003</v>
      </c>
      <c r="Z106" s="102">
        <f>IFERROR(INDEX('I2016'!L$5:L$90,MATCH($C106,'I2016'!$A$5:$A$90,0)),"")</f>
        <v>31979.46</v>
      </c>
      <c r="AA106" s="102">
        <f>IFERROR(INDEX('I2016'!M$5:M$90,MATCH($C106,'I2016'!$A$5:$A$90,0)),"")</f>
        <v>29495.279999999999</v>
      </c>
      <c r="AB106" s="102" t="str">
        <f>IFERROR(INDEX('I2017'!B$5:B$96,MATCH($C106,'I2017'!$A$5:$A$96,0)),"")</f>
        <v/>
      </c>
      <c r="AC106" s="102" t="str">
        <f>IFERROR(INDEX('I2017'!C$5:C$96,MATCH($C106,'I2017'!$A$5:$A$96,0)),"")</f>
        <v/>
      </c>
      <c r="AD106" s="102" t="str">
        <f>IFERROR(INDEX('I2017'!D$5:D$96,MATCH($C106,'I2017'!$A$5:$A$96,0)),"")</f>
        <v/>
      </c>
      <c r="AE106" s="102" t="str">
        <f>IFERROR(INDEX('I2017'!E$5:E$96,MATCH($C106,'I2017'!$A$5:$A$96,0)),"")</f>
        <v/>
      </c>
      <c r="AF106" s="102" t="str">
        <f>IFERROR(INDEX('I2017'!F$5:F$96,MATCH($C106,'I2017'!$A$5:$A$96,0)),"")</f>
        <v/>
      </c>
      <c r="AG106" s="102" t="str">
        <f>IFERROR(INDEX('I2017'!G$5:G$96,MATCH($C106,'I2017'!$A$5:$A$96,0)),"")</f>
        <v/>
      </c>
      <c r="AH106" s="102" t="str">
        <f>IFERROR(INDEX('I2017'!H$5:H$96,MATCH($C106,'I2017'!$A$5:$A$96,0)),"")</f>
        <v/>
      </c>
      <c r="AI106" s="102" t="str">
        <f>IFERROR(INDEX('I2017'!I$5:I$96,MATCH($C106,'I2017'!$A$5:$A$96,0)),"")</f>
        <v/>
      </c>
      <c r="AJ106" s="102" t="str">
        <f>IFERROR(INDEX('I2017'!J$5:J$96,MATCH($C106,'I2017'!$A$5:$A$96,0)),"")</f>
        <v/>
      </c>
      <c r="AK106" s="102" t="str">
        <f>IFERROR(INDEX('I2017'!K$5:K$96,MATCH($C106,'I2017'!$A$5:$A$96,0)),"")</f>
        <v/>
      </c>
      <c r="AL106" s="102" t="str">
        <f>IFERROR(INDEX('I2017'!L$5:L$96,MATCH($C106,'I2017'!$A$5:$A$96,0)),"")</f>
        <v/>
      </c>
      <c r="AM106" s="102" t="str">
        <f>IFERROR(INDEX('I2017'!M$5:M$96,MATCH($C106,'I2017'!$A$5:$A$96,0)),"")</f>
        <v/>
      </c>
      <c r="AN106" s="102" t="str">
        <f>IFERROR(INDEX('I2018'!B$5:B$107,MATCH($C106,'I2018'!$A$5:$A$107,0)),"")</f>
        <v/>
      </c>
      <c r="AO106" s="102" t="str">
        <f>IFERROR(INDEX('I2018'!C$5:C$107,MATCH($C106,'I2018'!$A$5:$A$107,0)),"")</f>
        <v/>
      </c>
      <c r="AP106" s="102" t="str">
        <f>IFERROR(INDEX('I2018'!D$5:D$107,MATCH($C106,'I2018'!$A$5:$A$107,0)),"")</f>
        <v/>
      </c>
      <c r="AQ106" s="102" t="str">
        <f>IFERROR(INDEX('I2018'!E$5:E$107,MATCH($C106,'I2018'!$A$5:$A$107,0)),"")</f>
        <v/>
      </c>
      <c r="AR106" s="102" t="str">
        <f>IFERROR(INDEX('I2018'!F$5:F$107,MATCH($C106,'I2018'!$A$5:$A$107,0)),"")</f>
        <v/>
      </c>
      <c r="AS106" s="102" t="str">
        <f>IFERROR(INDEX('I2018'!G$5:G$107,MATCH($C106,'I2018'!$A$5:$A$107,0)),"")</f>
        <v/>
      </c>
      <c r="AT106" s="102" t="str">
        <f>IFERROR(INDEX('I2018'!H$5:H$107,MATCH($C106,'I2018'!$A$5:$A$107,0)),"")</f>
        <v/>
      </c>
      <c r="AU106" s="102" t="str">
        <f>IFERROR(INDEX('I2018'!I$5:I$107,MATCH($C106,'I2018'!$A$5:$A$107,0)),"")</f>
        <v/>
      </c>
      <c r="AV106" s="102" t="str">
        <f>IFERROR(INDEX('I2018'!J$5:J$107,MATCH($C106,'I2018'!$A$5:$A$107,0)),"")</f>
        <v/>
      </c>
      <c r="AW106" s="102" t="str">
        <f>IFERROR(INDEX('I2018'!K$5:K$107,MATCH($C106,'I2018'!$A$5:$A$107,0)),"")</f>
        <v/>
      </c>
      <c r="AX106" s="102" t="str">
        <f>IFERROR(INDEX('I2018'!L$5:L$107,MATCH($C106,'I2018'!$A$5:$A$107,0)),"")</f>
        <v/>
      </c>
      <c r="AY106" s="102" t="str">
        <f>IFERROR(INDEX('I2018'!M$5:M$107,MATCH($C106,'I2018'!$A$5:$A$107,0)),"")</f>
        <v/>
      </c>
      <c r="AZ106" s="102" t="str">
        <f>IFERROR(INDEX('I2019'!B$5:B$112,MATCH($C106,'I2019'!$A$5:$A$112,0)),"")</f>
        <v/>
      </c>
      <c r="BA106" s="102" t="str">
        <f>IFERROR(INDEX('I2019'!C$5:C$112,MATCH($C106,'I2019'!$A$5:$A$112,0)),"")</f>
        <v/>
      </c>
      <c r="BB106" s="102" t="str">
        <f>IFERROR(INDEX('I2019'!D$5:D$112,MATCH($C106,'I2019'!$A$5:$A$112,0)),"")</f>
        <v/>
      </c>
      <c r="BC106" s="102" t="str">
        <f>IFERROR(INDEX('I2019'!E$5:E$112,MATCH($C106,'I2019'!$A$5:$A$112,0)),"")</f>
        <v/>
      </c>
      <c r="BD106" s="102" t="str">
        <f>IFERROR(INDEX('I2019'!F$5:F$112,MATCH($C106,'I2019'!$A$5:$A$112,0)),"")</f>
        <v/>
      </c>
      <c r="BE106" s="102" t="str">
        <f>IFERROR(INDEX('I2019'!G$5:G$112,MATCH($C106,'I2019'!$A$5:$A$112,0)),"")</f>
        <v/>
      </c>
      <c r="BF106" s="102" t="str">
        <f>IFERROR(INDEX('I2019'!H$5:H$112,MATCH($C106,'I2019'!$A$5:$A$112,0)),"")</f>
        <v/>
      </c>
      <c r="BG106" s="102" t="str">
        <f>IFERROR(INDEX('I2019'!I$5:I$112,MATCH($C106,'I2019'!$A$5:$A$112,0)),"")</f>
        <v/>
      </c>
      <c r="BH106" s="102" t="str">
        <f>IFERROR(INDEX('I2019'!J$5:J$112,MATCH($C106,'I2019'!$A$5:$A$112,0)),"")</f>
        <v/>
      </c>
      <c r="BI106" s="102" t="str">
        <f>IFERROR(INDEX('I2019'!K$5:K$112,MATCH($C106,'I2019'!$A$5:$A$112,0)),"")</f>
        <v/>
      </c>
      <c r="BJ106" s="102" t="str">
        <f>IFERROR(INDEX('I2019'!L$5:L$112,MATCH($C106,'I2019'!$A$5:$A$112,0)),"")</f>
        <v/>
      </c>
      <c r="BK106" s="102" t="str">
        <f>IFERROR(INDEX('I2019'!M$5:M$112,MATCH($C106,'I2019'!$A$5:$A$112,0)),"")</f>
        <v/>
      </c>
      <c r="BL106" s="102" t="str">
        <f>IFERROR(INDEX('I2020'!B$5:B$113,MATCH($C106,'I2020'!$A$5:$A$113,0)),"")</f>
        <v/>
      </c>
      <c r="BM106" s="102" t="str">
        <f>IFERROR(INDEX('I2020'!C$5:C$113,MATCH($C106,'I2020'!$A$5:$A$113,0)),"")</f>
        <v/>
      </c>
      <c r="BN106" s="102" t="str">
        <f>IFERROR(INDEX('I2020'!D$5:D$113,MATCH($C106,'I2020'!$A$5:$A$113,0)),"")</f>
        <v/>
      </c>
      <c r="BO106" s="102" t="str">
        <f>IFERROR(INDEX('I2020'!E$5:E$113,MATCH($C106,'I2020'!$A$5:$A$113,0)),"")</f>
        <v/>
      </c>
      <c r="BP106" s="102" t="str">
        <f>IFERROR(INDEX('I2020'!F$5:F$113,MATCH($C106,'I2020'!$A$5:$A$113,0)),"")</f>
        <v/>
      </c>
      <c r="BQ106" s="392" t="str">
        <f>IFERROR(INDEX('I2020'!G$5:G$113,MATCH($C106,'I2020'!$A$5:$A$113,0)),"")</f>
        <v/>
      </c>
      <c r="BR106" s="64"/>
      <c r="BS106" s="64"/>
      <c r="BT106" s="64"/>
      <c r="BU106" s="64"/>
      <c r="BV106" s="64"/>
      <c r="BW106" s="64"/>
      <c r="BX106" s="64"/>
      <c r="BY106" s="64"/>
      <c r="BZ106" s="64"/>
      <c r="CA106" s="64"/>
      <c r="CB106" s="64"/>
      <c r="CC106" s="64"/>
      <c r="CD106" s="64"/>
      <c r="CE106" s="64"/>
      <c r="CF106" s="64"/>
      <c r="CG106" s="64"/>
      <c r="CH106" s="64"/>
      <c r="CI106" s="124"/>
      <c r="CJ106" s="134"/>
    </row>
    <row r="107" spans="1:88" x14ac:dyDescent="0.3">
      <c r="A107" s="33"/>
      <c r="B107" s="68"/>
      <c r="C107" s="21" t="s">
        <v>152</v>
      </c>
      <c r="D107" s="102" t="str">
        <f>IFERROR(INDEX('I2015'!B$5:B$73,MATCH($C107,'I2015'!$A$5:$A$73,0)),"")</f>
        <v/>
      </c>
      <c r="E107" s="102" t="str">
        <f>IFERROR(INDEX('I2015'!C$5:C$73,MATCH($C107,'I2015'!$A$5:$A$73,0)),"")</f>
        <v/>
      </c>
      <c r="F107" s="102" t="str">
        <f>IFERROR(INDEX('I2015'!D$5:D$73,MATCH($C107,'I2015'!$A$5:$A$73,0)),"")</f>
        <v/>
      </c>
      <c r="G107" s="102" t="str">
        <f>IFERROR(INDEX('I2015'!E$5:E$73,MATCH($C107,'I2015'!$A$5:$A$73,0)),"")</f>
        <v/>
      </c>
      <c r="H107" s="102" t="str">
        <f>IFERROR(INDEX('I2015'!F$5:F$73,MATCH($C107,'I2015'!$A$5:$A$73,0)),"")</f>
        <v/>
      </c>
      <c r="I107" s="102" t="str">
        <f>IFERROR(INDEX('I2015'!G$5:G$73,MATCH($C107,'I2015'!$A$5:$A$73,0)),"")</f>
        <v/>
      </c>
      <c r="J107" s="102" t="str">
        <f>IFERROR(INDEX('I2015'!H$5:H$73,MATCH($C107,'I2015'!$A$5:$A$73,0)),"")</f>
        <v/>
      </c>
      <c r="K107" s="102" t="str">
        <f>IFERROR(INDEX('I2015'!I$5:I$73,MATCH($C107,'I2015'!$A$5:$A$73,0)),"")</f>
        <v/>
      </c>
      <c r="L107" s="102" t="str">
        <f>IFERROR(INDEX('I2015'!J$5:J$73,MATCH($C107,'I2015'!$A$5:$A$73,0)),"")</f>
        <v/>
      </c>
      <c r="M107" s="102" t="str">
        <f>IFERROR(INDEX('I2015'!K$5:K$73,MATCH($C107,'I2015'!$A$5:$A$73,0)),"")</f>
        <v/>
      </c>
      <c r="N107" s="102" t="str">
        <f>IFERROR(INDEX('I2015'!L$5:L$73,MATCH($C107,'I2015'!$A$5:$A$73,0)),"")</f>
        <v/>
      </c>
      <c r="O107" s="102" t="str">
        <f>IFERROR(INDEX('I2015'!M$5:M$73,MATCH($C107,'I2015'!$A$5:$A$73,0)),"")</f>
        <v/>
      </c>
      <c r="P107" s="102">
        <f>IFERROR(INDEX('I2016'!B$5:B$90,MATCH($C107,'I2016'!$A$5:$A$90,0)),"")</f>
        <v>422.18</v>
      </c>
      <c r="Q107" s="102">
        <f>IFERROR(INDEX('I2016'!C$5:C$90,MATCH($C107,'I2016'!$A$5:$A$90,0)),"")</f>
        <v>500.12</v>
      </c>
      <c r="R107" s="102">
        <f>IFERROR(INDEX('I2016'!D$5:D$90,MATCH($C107,'I2016'!$A$5:$A$90,0)),"")</f>
        <v>1091.9100000000001</v>
      </c>
      <c r="S107" s="102">
        <f>IFERROR(INDEX('I2016'!E$5:E$90,MATCH($C107,'I2016'!$A$5:$A$90,0)),"")</f>
        <v>141</v>
      </c>
      <c r="T107" s="102">
        <f>IFERROR(INDEX('I2016'!F$5:F$90,MATCH($C107,'I2016'!$A$5:$A$90,0)),"")</f>
        <v>147</v>
      </c>
      <c r="U107" s="102">
        <f>IFERROR(INDEX('I2016'!G$5:G$90,MATCH($C107,'I2016'!$A$5:$A$90,0)),"")</f>
        <v>126</v>
      </c>
      <c r="V107" s="102">
        <f>IFERROR(INDEX('I2016'!H$5:H$90,MATCH($C107,'I2016'!$A$5:$A$90,0)),"")</f>
        <v>231</v>
      </c>
      <c r="W107" s="102">
        <f>IFERROR(INDEX('I2016'!I$5:I$90,MATCH($C107,'I2016'!$A$5:$A$90,0)),"")</f>
        <v>102</v>
      </c>
      <c r="X107" s="102">
        <f>IFERROR(INDEX('I2016'!J$5:J$90,MATCH($C107,'I2016'!$A$5:$A$90,0)),"")</f>
        <v>745</v>
      </c>
      <c r="Y107" s="102">
        <f>IFERROR(INDEX('I2016'!K$5:K$90,MATCH($C107,'I2016'!$A$5:$A$90,0)),"")</f>
        <v>87</v>
      </c>
      <c r="Z107" s="102">
        <f>IFERROR(INDEX('I2016'!L$5:L$90,MATCH($C107,'I2016'!$A$5:$A$90,0)),"")</f>
        <v>102</v>
      </c>
      <c r="AA107" s="102">
        <f>IFERROR(INDEX('I2016'!M$5:M$90,MATCH($C107,'I2016'!$A$5:$A$90,0)),"")</f>
        <v>0</v>
      </c>
      <c r="AB107" s="102" t="str">
        <f>IFERROR(INDEX('I2017'!B$5:B$96,MATCH($C107,'I2017'!$A$5:$A$96,0)),"")</f>
        <v/>
      </c>
      <c r="AC107" s="102" t="str">
        <f>IFERROR(INDEX('I2017'!C$5:C$96,MATCH($C107,'I2017'!$A$5:$A$96,0)),"")</f>
        <v/>
      </c>
      <c r="AD107" s="102" t="str">
        <f>IFERROR(INDEX('I2017'!D$5:D$96,MATCH($C107,'I2017'!$A$5:$A$96,0)),"")</f>
        <v/>
      </c>
      <c r="AE107" s="102" t="str">
        <f>IFERROR(INDEX('I2017'!E$5:E$96,MATCH($C107,'I2017'!$A$5:$A$96,0)),"")</f>
        <v/>
      </c>
      <c r="AF107" s="102" t="str">
        <f>IFERROR(INDEX('I2017'!F$5:F$96,MATCH($C107,'I2017'!$A$5:$A$96,0)),"")</f>
        <v/>
      </c>
      <c r="AG107" s="102" t="str">
        <f>IFERROR(INDEX('I2017'!G$5:G$96,MATCH($C107,'I2017'!$A$5:$A$96,0)),"")</f>
        <v/>
      </c>
      <c r="AH107" s="102" t="str">
        <f>IFERROR(INDEX('I2017'!H$5:H$96,MATCH($C107,'I2017'!$A$5:$A$96,0)),"")</f>
        <v/>
      </c>
      <c r="AI107" s="102" t="str">
        <f>IFERROR(INDEX('I2017'!I$5:I$96,MATCH($C107,'I2017'!$A$5:$A$96,0)),"")</f>
        <v/>
      </c>
      <c r="AJ107" s="102" t="str">
        <f>IFERROR(INDEX('I2017'!J$5:J$96,MATCH($C107,'I2017'!$A$5:$A$96,0)),"")</f>
        <v/>
      </c>
      <c r="AK107" s="102" t="str">
        <f>IFERROR(INDEX('I2017'!K$5:K$96,MATCH($C107,'I2017'!$A$5:$A$96,0)),"")</f>
        <v/>
      </c>
      <c r="AL107" s="102" t="str">
        <f>IFERROR(INDEX('I2017'!L$5:L$96,MATCH($C107,'I2017'!$A$5:$A$96,0)),"")</f>
        <v/>
      </c>
      <c r="AM107" s="102" t="str">
        <f>IFERROR(INDEX('I2017'!M$5:M$96,MATCH($C107,'I2017'!$A$5:$A$96,0)),"")</f>
        <v/>
      </c>
      <c r="AN107" s="102" t="str">
        <f>IFERROR(INDEX('I2018'!B$5:B$107,MATCH($C107,'I2018'!$A$5:$A$107,0)),"")</f>
        <v/>
      </c>
      <c r="AO107" s="102" t="str">
        <f>IFERROR(INDEX('I2018'!C$5:C$107,MATCH($C107,'I2018'!$A$5:$A$107,0)),"")</f>
        <v/>
      </c>
      <c r="AP107" s="102" t="str">
        <f>IFERROR(INDEX('I2018'!D$5:D$107,MATCH($C107,'I2018'!$A$5:$A$107,0)),"")</f>
        <v/>
      </c>
      <c r="AQ107" s="102" t="str">
        <f>IFERROR(INDEX('I2018'!E$5:E$107,MATCH($C107,'I2018'!$A$5:$A$107,0)),"")</f>
        <v/>
      </c>
      <c r="AR107" s="102" t="str">
        <f>IFERROR(INDEX('I2018'!F$5:F$107,MATCH($C107,'I2018'!$A$5:$A$107,0)),"")</f>
        <v/>
      </c>
      <c r="AS107" s="102" t="str">
        <f>IFERROR(INDEX('I2018'!G$5:G$107,MATCH($C107,'I2018'!$A$5:$A$107,0)),"")</f>
        <v/>
      </c>
      <c r="AT107" s="102" t="str">
        <f>IFERROR(INDEX('I2018'!H$5:H$107,MATCH($C107,'I2018'!$A$5:$A$107,0)),"")</f>
        <v/>
      </c>
      <c r="AU107" s="102" t="str">
        <f>IFERROR(INDEX('I2018'!I$5:I$107,MATCH($C107,'I2018'!$A$5:$A$107,0)),"")</f>
        <v/>
      </c>
      <c r="AV107" s="102" t="str">
        <f>IFERROR(INDEX('I2018'!J$5:J$107,MATCH($C107,'I2018'!$A$5:$A$107,0)),"")</f>
        <v/>
      </c>
      <c r="AW107" s="102" t="str">
        <f>IFERROR(INDEX('I2018'!K$5:K$107,MATCH($C107,'I2018'!$A$5:$A$107,0)),"")</f>
        <v/>
      </c>
      <c r="AX107" s="102" t="str">
        <f>IFERROR(INDEX('I2018'!L$5:L$107,MATCH($C107,'I2018'!$A$5:$A$107,0)),"")</f>
        <v/>
      </c>
      <c r="AY107" s="102" t="str">
        <f>IFERROR(INDEX('I2018'!M$5:M$107,MATCH($C107,'I2018'!$A$5:$A$107,0)),"")</f>
        <v/>
      </c>
      <c r="AZ107" s="102" t="str">
        <f>IFERROR(INDEX('I2019'!B$5:B$112,MATCH($C107,'I2019'!$A$5:$A$112,0)),"")</f>
        <v/>
      </c>
      <c r="BA107" s="102" t="str">
        <f>IFERROR(INDEX('I2019'!C$5:C$112,MATCH($C107,'I2019'!$A$5:$A$112,0)),"")</f>
        <v/>
      </c>
      <c r="BB107" s="102" t="str">
        <f>IFERROR(INDEX('I2019'!D$5:D$112,MATCH($C107,'I2019'!$A$5:$A$112,0)),"")</f>
        <v/>
      </c>
      <c r="BC107" s="102" t="str">
        <f>IFERROR(INDEX('I2019'!E$5:E$112,MATCH($C107,'I2019'!$A$5:$A$112,0)),"")</f>
        <v/>
      </c>
      <c r="BD107" s="102" t="str">
        <f>IFERROR(INDEX('I2019'!F$5:F$112,MATCH($C107,'I2019'!$A$5:$A$112,0)),"")</f>
        <v/>
      </c>
      <c r="BE107" s="102" t="str">
        <f>IFERROR(INDEX('I2019'!G$5:G$112,MATCH($C107,'I2019'!$A$5:$A$112,0)),"")</f>
        <v/>
      </c>
      <c r="BF107" s="102" t="str">
        <f>IFERROR(INDEX('I2019'!H$5:H$112,MATCH($C107,'I2019'!$A$5:$A$112,0)),"")</f>
        <v/>
      </c>
      <c r="BG107" s="102" t="str">
        <f>IFERROR(INDEX('I2019'!I$5:I$112,MATCH($C107,'I2019'!$A$5:$A$112,0)),"")</f>
        <v/>
      </c>
      <c r="BH107" s="102" t="str">
        <f>IFERROR(INDEX('I2019'!J$5:J$112,MATCH($C107,'I2019'!$A$5:$A$112,0)),"")</f>
        <v/>
      </c>
      <c r="BI107" s="102" t="str">
        <f>IFERROR(INDEX('I2019'!K$5:K$112,MATCH($C107,'I2019'!$A$5:$A$112,0)),"")</f>
        <v/>
      </c>
      <c r="BJ107" s="102" t="str">
        <f>IFERROR(INDEX('I2019'!L$5:L$112,MATCH($C107,'I2019'!$A$5:$A$112,0)),"")</f>
        <v/>
      </c>
      <c r="BK107" s="102" t="str">
        <f>IFERROR(INDEX('I2019'!M$5:M$112,MATCH($C107,'I2019'!$A$5:$A$112,0)),"")</f>
        <v/>
      </c>
      <c r="BL107" s="102" t="str">
        <f>IFERROR(INDEX('I2020'!B$5:B$113,MATCH($C107,'I2020'!$A$5:$A$113,0)),"")</f>
        <v/>
      </c>
      <c r="BM107" s="102" t="str">
        <f>IFERROR(INDEX('I2020'!C$5:C$113,MATCH($C107,'I2020'!$A$5:$A$113,0)),"")</f>
        <v/>
      </c>
      <c r="BN107" s="102" t="str">
        <f>IFERROR(INDEX('I2020'!D$5:D$113,MATCH($C107,'I2020'!$A$5:$A$113,0)),"")</f>
        <v/>
      </c>
      <c r="BO107" s="102" t="str">
        <f>IFERROR(INDEX('I2020'!E$5:E$113,MATCH($C107,'I2020'!$A$5:$A$113,0)),"")</f>
        <v/>
      </c>
      <c r="BP107" s="102" t="str">
        <f>IFERROR(INDEX('I2020'!F$5:F$113,MATCH($C107,'I2020'!$A$5:$A$113,0)),"")</f>
        <v/>
      </c>
      <c r="BQ107" s="392" t="str">
        <f>IFERROR(INDEX('I2020'!G$5:G$113,MATCH($C107,'I2020'!$A$5:$A$113,0)),"")</f>
        <v/>
      </c>
      <c r="BR107" s="64"/>
      <c r="BS107" s="64"/>
      <c r="BT107" s="64"/>
      <c r="BU107" s="64"/>
      <c r="BV107" s="64"/>
      <c r="BW107" s="64"/>
      <c r="BX107" s="64"/>
      <c r="BY107" s="64"/>
      <c r="BZ107" s="64"/>
      <c r="CA107" s="64"/>
      <c r="CB107" s="64"/>
      <c r="CC107" s="64"/>
      <c r="CD107" s="64"/>
      <c r="CE107" s="64"/>
      <c r="CF107" s="64"/>
      <c r="CG107" s="64"/>
      <c r="CH107" s="64"/>
      <c r="CI107" s="124"/>
      <c r="CJ107" s="134"/>
    </row>
    <row r="108" spans="1:88" x14ac:dyDescent="0.3">
      <c r="A108" s="33"/>
      <c r="B108" s="68"/>
      <c r="C108" s="21" t="s">
        <v>78</v>
      </c>
      <c r="D108" s="102" t="str">
        <f>IFERROR(INDEX('I2015'!B$5:B$73,MATCH($C108,'I2015'!$A$5:$A$73,0)),"")</f>
        <v/>
      </c>
      <c r="E108" s="102" t="str">
        <f>IFERROR(INDEX('I2015'!C$5:C$73,MATCH($C108,'I2015'!$A$5:$A$73,0)),"")</f>
        <v/>
      </c>
      <c r="F108" s="102" t="str">
        <f>IFERROR(INDEX('I2015'!D$5:D$73,MATCH($C108,'I2015'!$A$5:$A$73,0)),"")</f>
        <v/>
      </c>
      <c r="G108" s="102" t="str">
        <f>IFERROR(INDEX('I2015'!E$5:E$73,MATCH($C108,'I2015'!$A$5:$A$73,0)),"")</f>
        <v/>
      </c>
      <c r="H108" s="102" t="str">
        <f>IFERROR(INDEX('I2015'!F$5:F$73,MATCH($C108,'I2015'!$A$5:$A$73,0)),"")</f>
        <v/>
      </c>
      <c r="I108" s="102" t="str">
        <f>IFERROR(INDEX('I2015'!G$5:G$73,MATCH($C108,'I2015'!$A$5:$A$73,0)),"")</f>
        <v/>
      </c>
      <c r="J108" s="102" t="str">
        <f>IFERROR(INDEX('I2015'!H$5:H$73,MATCH($C108,'I2015'!$A$5:$A$73,0)),"")</f>
        <v/>
      </c>
      <c r="K108" s="102" t="str">
        <f>IFERROR(INDEX('I2015'!I$5:I$73,MATCH($C108,'I2015'!$A$5:$A$73,0)),"")</f>
        <v/>
      </c>
      <c r="L108" s="102" t="str">
        <f>IFERROR(INDEX('I2015'!J$5:J$73,MATCH($C108,'I2015'!$A$5:$A$73,0)),"")</f>
        <v/>
      </c>
      <c r="M108" s="102" t="str">
        <f>IFERROR(INDEX('I2015'!K$5:K$73,MATCH($C108,'I2015'!$A$5:$A$73,0)),"")</f>
        <v/>
      </c>
      <c r="N108" s="102" t="str">
        <f>IFERROR(INDEX('I2015'!L$5:L$73,MATCH($C108,'I2015'!$A$5:$A$73,0)),"")</f>
        <v/>
      </c>
      <c r="O108" s="102" t="str">
        <f>IFERROR(INDEX('I2015'!M$5:M$73,MATCH($C108,'I2015'!$A$5:$A$73,0)),"")</f>
        <v/>
      </c>
      <c r="P108" s="102" t="str">
        <f>IFERROR(INDEX('I2016'!B$5:B$90,MATCH($C108,'I2016'!$A$5:$A$90,0)),"")</f>
        <v/>
      </c>
      <c r="Q108" s="102" t="str">
        <f>IFERROR(INDEX('I2016'!C$5:C$90,MATCH($C108,'I2016'!$A$5:$A$90,0)),"")</f>
        <v/>
      </c>
      <c r="R108" s="102" t="str">
        <f>IFERROR(INDEX('I2016'!D$5:D$90,MATCH($C108,'I2016'!$A$5:$A$90,0)),"")</f>
        <v/>
      </c>
      <c r="S108" s="102" t="str">
        <f>IFERROR(INDEX('I2016'!E$5:E$90,MATCH($C108,'I2016'!$A$5:$A$90,0)),"")</f>
        <v/>
      </c>
      <c r="T108" s="102" t="str">
        <f>IFERROR(INDEX('I2016'!F$5:F$90,MATCH($C108,'I2016'!$A$5:$A$90,0)),"")</f>
        <v/>
      </c>
      <c r="U108" s="102" t="str">
        <f>IFERROR(INDEX('I2016'!G$5:G$90,MATCH($C108,'I2016'!$A$5:$A$90,0)),"")</f>
        <v/>
      </c>
      <c r="V108" s="102" t="str">
        <f>IFERROR(INDEX('I2016'!H$5:H$90,MATCH($C108,'I2016'!$A$5:$A$90,0)),"")</f>
        <v/>
      </c>
      <c r="W108" s="102" t="str">
        <f>IFERROR(INDEX('I2016'!I$5:I$90,MATCH($C108,'I2016'!$A$5:$A$90,0)),"")</f>
        <v/>
      </c>
      <c r="X108" s="102" t="str">
        <f>IFERROR(INDEX('I2016'!J$5:J$90,MATCH($C108,'I2016'!$A$5:$A$90,0)),"")</f>
        <v/>
      </c>
      <c r="Y108" s="102" t="str">
        <f>IFERROR(INDEX('I2016'!K$5:K$90,MATCH($C108,'I2016'!$A$5:$A$90,0)),"")</f>
        <v/>
      </c>
      <c r="Z108" s="102" t="str">
        <f>IFERROR(INDEX('I2016'!L$5:L$90,MATCH($C108,'I2016'!$A$5:$A$90,0)),"")</f>
        <v/>
      </c>
      <c r="AA108" s="102" t="str">
        <f>IFERROR(INDEX('I2016'!M$5:M$90,MATCH($C108,'I2016'!$A$5:$A$90,0)),"")</f>
        <v/>
      </c>
      <c r="AB108" s="102">
        <f>IFERROR(INDEX('I2017'!B$5:B$96,MATCH($C108,'I2017'!$A$5:$A$96,0)),"")</f>
        <v>0</v>
      </c>
      <c r="AC108" s="102">
        <f>IFERROR(INDEX('I2017'!C$5:C$96,MATCH($C108,'I2017'!$A$5:$A$96,0)),"")</f>
        <v>0</v>
      </c>
      <c r="AD108" s="102">
        <f>IFERROR(INDEX('I2017'!D$5:D$96,MATCH($C108,'I2017'!$A$5:$A$96,0)),"")</f>
        <v>0</v>
      </c>
      <c r="AE108" s="102">
        <f>IFERROR(INDEX('I2017'!E$5:E$96,MATCH($C108,'I2017'!$A$5:$A$96,0)),"")</f>
        <v>0</v>
      </c>
      <c r="AF108" s="102">
        <f>IFERROR(INDEX('I2017'!F$5:F$96,MATCH($C108,'I2017'!$A$5:$A$96,0)),"")</f>
        <v>0</v>
      </c>
      <c r="AG108" s="102">
        <f>IFERROR(INDEX('I2017'!G$5:G$96,MATCH($C108,'I2017'!$A$5:$A$96,0)),"")</f>
        <v>0</v>
      </c>
      <c r="AH108" s="102">
        <f>IFERROR(INDEX('I2017'!H$5:H$96,MATCH($C108,'I2017'!$A$5:$A$96,0)),"")</f>
        <v>157.85</v>
      </c>
      <c r="AI108" s="102">
        <f>IFERROR(INDEX('I2017'!I$5:I$96,MATCH($C108,'I2017'!$A$5:$A$96,0)),"")</f>
        <v>530.44000000000005</v>
      </c>
      <c r="AJ108" s="102">
        <f>IFERROR(INDEX('I2017'!J$5:J$96,MATCH($C108,'I2017'!$A$5:$A$96,0)),"")</f>
        <v>203.96</v>
      </c>
      <c r="AK108" s="102">
        <f>IFERROR(INDEX('I2017'!K$5:K$96,MATCH($C108,'I2017'!$A$5:$A$96,0)),"")</f>
        <v>0</v>
      </c>
      <c r="AL108" s="102">
        <f>IFERROR(INDEX('I2017'!L$5:L$96,MATCH($C108,'I2017'!$A$5:$A$96,0)),"")</f>
        <v>0</v>
      </c>
      <c r="AM108" s="102">
        <f>IFERROR(INDEX('I2017'!M$5:M$96,MATCH($C108,'I2017'!$A$5:$A$96,0)),"")</f>
        <v>0</v>
      </c>
      <c r="AN108" s="102">
        <f>IFERROR(INDEX('I2018'!B$5:B$107,MATCH($C108,'I2018'!$A$5:$A$107,0)),"")</f>
        <v>0</v>
      </c>
      <c r="AO108" s="102">
        <f>IFERROR(INDEX('I2018'!C$5:C$107,MATCH($C108,'I2018'!$A$5:$A$107,0)),"")</f>
        <v>0</v>
      </c>
      <c r="AP108" s="102">
        <f>IFERROR(INDEX('I2018'!D$5:D$107,MATCH($C108,'I2018'!$A$5:$A$107,0)),"")</f>
        <v>0</v>
      </c>
      <c r="AQ108" s="102">
        <f>IFERROR(INDEX('I2018'!E$5:E$107,MATCH($C108,'I2018'!$A$5:$A$107,0)),"")</f>
        <v>0</v>
      </c>
      <c r="AR108" s="102">
        <f>IFERROR(INDEX('I2018'!F$5:F$107,MATCH($C108,'I2018'!$A$5:$A$107,0)),"")</f>
        <v>0</v>
      </c>
      <c r="AS108" s="102">
        <f>IFERROR(INDEX('I2018'!G$5:G$107,MATCH($C108,'I2018'!$A$5:$A$107,0)),"")</f>
        <v>250.15</v>
      </c>
      <c r="AT108" s="102">
        <f>IFERROR(INDEX('I2018'!H$5:H$107,MATCH($C108,'I2018'!$A$5:$A$107,0)),"")</f>
        <v>0</v>
      </c>
      <c r="AU108" s="102">
        <f>IFERROR(INDEX('I2018'!I$5:I$107,MATCH($C108,'I2018'!$A$5:$A$107,0)),"")</f>
        <v>0</v>
      </c>
      <c r="AV108" s="102">
        <f>IFERROR(INDEX('I2018'!J$5:J$107,MATCH($C108,'I2018'!$A$5:$A$107,0)),"")</f>
        <v>0</v>
      </c>
      <c r="AW108" s="102">
        <f>IFERROR(INDEX('I2018'!K$5:K$107,MATCH($C108,'I2018'!$A$5:$A$107,0)),"")</f>
        <v>0</v>
      </c>
      <c r="AX108" s="102">
        <f>IFERROR(INDEX('I2018'!L$5:L$107,MATCH($C108,'I2018'!$A$5:$A$107,0)),"")</f>
        <v>0</v>
      </c>
      <c r="AY108" s="102">
        <f>IFERROR(INDEX('I2018'!M$5:M$107,MATCH($C108,'I2018'!$A$5:$A$107,0)),"")</f>
        <v>0</v>
      </c>
      <c r="AZ108" s="102">
        <f>IFERROR(INDEX('I2019'!B$5:B$112,MATCH($C108,'I2019'!$A$5:$A$112,0)),"")</f>
        <v>0</v>
      </c>
      <c r="BA108" s="102">
        <f>IFERROR(INDEX('I2019'!C$5:C$112,MATCH($C108,'I2019'!$A$5:$A$112,0)),"")</f>
        <v>0</v>
      </c>
      <c r="BB108" s="102">
        <f>IFERROR(INDEX('I2019'!D$5:D$112,MATCH($C108,'I2019'!$A$5:$A$112,0)),"")</f>
        <v>0</v>
      </c>
      <c r="BC108" s="102">
        <f>IFERROR(INDEX('I2019'!E$5:E$112,MATCH($C108,'I2019'!$A$5:$A$112,0)),"")</f>
        <v>671.65</v>
      </c>
      <c r="BD108" s="102">
        <f>IFERROR(INDEX('I2019'!F$5:F$112,MATCH($C108,'I2019'!$A$5:$A$112,0)),"")</f>
        <v>9865.42</v>
      </c>
      <c r="BE108" s="102">
        <f>IFERROR(INDEX('I2019'!G$5:G$112,MATCH($C108,'I2019'!$A$5:$A$112,0)),"")</f>
        <v>803.95</v>
      </c>
      <c r="BF108" s="102">
        <f>IFERROR(INDEX('I2019'!H$5:H$112,MATCH($C108,'I2019'!$A$5:$A$112,0)),"")</f>
        <v>0</v>
      </c>
      <c r="BG108" s="102">
        <f>IFERROR(INDEX('I2019'!I$5:I$112,MATCH($C108,'I2019'!$A$5:$A$112,0)),"")</f>
        <v>0</v>
      </c>
      <c r="BH108" s="102">
        <f>IFERROR(INDEX('I2019'!J$5:J$112,MATCH($C108,'I2019'!$A$5:$A$112,0)),"")</f>
        <v>0</v>
      </c>
      <c r="BI108" s="102">
        <f>IFERROR(INDEX('I2019'!K$5:K$112,MATCH($C108,'I2019'!$A$5:$A$112,0)),"")</f>
        <v>0</v>
      </c>
      <c r="BJ108" s="102">
        <f>IFERROR(INDEX('I2019'!L$5:L$112,MATCH($C108,'I2019'!$A$5:$A$112,0)),"")</f>
        <v>0</v>
      </c>
      <c r="BK108" s="102">
        <f>IFERROR(INDEX('I2019'!M$5:M$112,MATCH($C108,'I2019'!$A$5:$A$112,0)),"")</f>
        <v>0</v>
      </c>
      <c r="BL108" s="102" t="str">
        <f>IFERROR(INDEX('I2020'!B$5:B$113,MATCH($C108,'I2020'!$A$5:$A$113,0)),"")</f>
        <v/>
      </c>
      <c r="BM108" s="102" t="str">
        <f>IFERROR(INDEX('I2020'!C$5:C$113,MATCH($C108,'I2020'!$A$5:$A$113,0)),"")</f>
        <v/>
      </c>
      <c r="BN108" s="102" t="str">
        <f>IFERROR(INDEX('I2020'!D$5:D$113,MATCH($C108,'I2020'!$A$5:$A$113,0)),"")</f>
        <v/>
      </c>
      <c r="BO108" s="102" t="str">
        <f>IFERROR(INDEX('I2020'!E$5:E$113,MATCH($C108,'I2020'!$A$5:$A$113,0)),"")</f>
        <v/>
      </c>
      <c r="BP108" s="102" t="str">
        <f>IFERROR(INDEX('I2020'!F$5:F$113,MATCH($C108,'I2020'!$A$5:$A$113,0)),"")</f>
        <v/>
      </c>
      <c r="BQ108" s="392" t="str">
        <f>IFERROR(INDEX('I2020'!G$5:G$113,MATCH($C108,'I2020'!$A$5:$A$113,0)),"")</f>
        <v/>
      </c>
      <c r="BR108" s="64"/>
      <c r="BS108" s="64"/>
      <c r="BT108" s="64"/>
      <c r="BU108" s="64"/>
      <c r="BV108" s="64"/>
      <c r="BW108" s="64"/>
      <c r="BX108" s="64"/>
      <c r="BY108" s="64"/>
      <c r="BZ108" s="64"/>
      <c r="CA108" s="64"/>
      <c r="CB108" s="64"/>
      <c r="CC108" s="64"/>
      <c r="CD108" s="64"/>
      <c r="CE108" s="64"/>
      <c r="CF108" s="64"/>
      <c r="CG108" s="64"/>
      <c r="CH108" s="64"/>
      <c r="CI108" s="124"/>
      <c r="CJ108" s="134"/>
    </row>
    <row r="109" spans="1:88" x14ac:dyDescent="0.3">
      <c r="A109" s="33"/>
      <c r="B109" s="68"/>
      <c r="C109" s="21" t="s">
        <v>79</v>
      </c>
      <c r="D109" s="102" t="str">
        <f>IFERROR(INDEX('I2015'!B$5:B$73,MATCH($C109,'I2015'!$A$5:$A$73,0)),"")</f>
        <v/>
      </c>
      <c r="E109" s="102" t="str">
        <f>IFERROR(INDEX('I2015'!C$5:C$73,MATCH($C109,'I2015'!$A$5:$A$73,0)),"")</f>
        <v/>
      </c>
      <c r="F109" s="102" t="str">
        <f>IFERROR(INDEX('I2015'!D$5:D$73,MATCH($C109,'I2015'!$A$5:$A$73,0)),"")</f>
        <v/>
      </c>
      <c r="G109" s="102" t="str">
        <f>IFERROR(INDEX('I2015'!E$5:E$73,MATCH($C109,'I2015'!$A$5:$A$73,0)),"")</f>
        <v/>
      </c>
      <c r="H109" s="102" t="str">
        <f>IFERROR(INDEX('I2015'!F$5:F$73,MATCH($C109,'I2015'!$A$5:$A$73,0)),"")</f>
        <v/>
      </c>
      <c r="I109" s="102" t="str">
        <f>IFERROR(INDEX('I2015'!G$5:G$73,MATCH($C109,'I2015'!$A$5:$A$73,0)),"")</f>
        <v/>
      </c>
      <c r="J109" s="102" t="str">
        <f>IFERROR(INDEX('I2015'!H$5:H$73,MATCH($C109,'I2015'!$A$5:$A$73,0)),"")</f>
        <v/>
      </c>
      <c r="K109" s="102" t="str">
        <f>IFERROR(INDEX('I2015'!I$5:I$73,MATCH($C109,'I2015'!$A$5:$A$73,0)),"")</f>
        <v/>
      </c>
      <c r="L109" s="102" t="str">
        <f>IFERROR(INDEX('I2015'!J$5:J$73,MATCH($C109,'I2015'!$A$5:$A$73,0)),"")</f>
        <v/>
      </c>
      <c r="M109" s="102" t="str">
        <f>IFERROR(INDEX('I2015'!K$5:K$73,MATCH($C109,'I2015'!$A$5:$A$73,0)),"")</f>
        <v/>
      </c>
      <c r="N109" s="102" t="str">
        <f>IFERROR(INDEX('I2015'!L$5:L$73,MATCH($C109,'I2015'!$A$5:$A$73,0)),"")</f>
        <v/>
      </c>
      <c r="O109" s="102" t="str">
        <f>IFERROR(INDEX('I2015'!M$5:M$73,MATCH($C109,'I2015'!$A$5:$A$73,0)),"")</f>
        <v/>
      </c>
      <c r="P109" s="102" t="str">
        <f>IFERROR(INDEX('I2016'!B$5:B$90,MATCH($C109,'I2016'!$A$5:$A$90,0)),"")</f>
        <v/>
      </c>
      <c r="Q109" s="102" t="str">
        <f>IFERROR(INDEX('I2016'!C$5:C$90,MATCH($C109,'I2016'!$A$5:$A$90,0)),"")</f>
        <v/>
      </c>
      <c r="R109" s="102" t="str">
        <f>IFERROR(INDEX('I2016'!D$5:D$90,MATCH($C109,'I2016'!$A$5:$A$90,0)),"")</f>
        <v/>
      </c>
      <c r="S109" s="102" t="str">
        <f>IFERROR(INDEX('I2016'!E$5:E$90,MATCH($C109,'I2016'!$A$5:$A$90,0)),"")</f>
        <v/>
      </c>
      <c r="T109" s="102" t="str">
        <f>IFERROR(INDEX('I2016'!F$5:F$90,MATCH($C109,'I2016'!$A$5:$A$90,0)),"")</f>
        <v/>
      </c>
      <c r="U109" s="102" t="str">
        <f>IFERROR(INDEX('I2016'!G$5:G$90,MATCH($C109,'I2016'!$A$5:$A$90,0)),"")</f>
        <v/>
      </c>
      <c r="V109" s="102" t="str">
        <f>IFERROR(INDEX('I2016'!H$5:H$90,MATCH($C109,'I2016'!$A$5:$A$90,0)),"")</f>
        <v/>
      </c>
      <c r="W109" s="102" t="str">
        <f>IFERROR(INDEX('I2016'!I$5:I$90,MATCH($C109,'I2016'!$A$5:$A$90,0)),"")</f>
        <v/>
      </c>
      <c r="X109" s="102" t="str">
        <f>IFERROR(INDEX('I2016'!J$5:J$90,MATCH($C109,'I2016'!$A$5:$A$90,0)),"")</f>
        <v/>
      </c>
      <c r="Y109" s="102" t="str">
        <f>IFERROR(INDEX('I2016'!K$5:K$90,MATCH($C109,'I2016'!$A$5:$A$90,0)),"")</f>
        <v/>
      </c>
      <c r="Z109" s="102" t="str">
        <f>IFERROR(INDEX('I2016'!L$5:L$90,MATCH($C109,'I2016'!$A$5:$A$90,0)),"")</f>
        <v/>
      </c>
      <c r="AA109" s="102" t="str">
        <f>IFERROR(INDEX('I2016'!M$5:M$90,MATCH($C109,'I2016'!$A$5:$A$90,0)),"")</f>
        <v/>
      </c>
      <c r="AB109" s="102">
        <f>IFERROR(INDEX('I2017'!B$5:B$96,MATCH($C109,'I2017'!$A$5:$A$96,0)),"")</f>
        <v>0</v>
      </c>
      <c r="AC109" s="102">
        <f>IFERROR(INDEX('I2017'!C$5:C$96,MATCH($C109,'I2017'!$A$5:$A$96,0)),"")</f>
        <v>0</v>
      </c>
      <c r="AD109" s="102">
        <f>IFERROR(INDEX('I2017'!D$5:D$96,MATCH($C109,'I2017'!$A$5:$A$96,0)),"")</f>
        <v>7.98</v>
      </c>
      <c r="AE109" s="102">
        <f>IFERROR(INDEX('I2017'!E$5:E$96,MATCH($C109,'I2017'!$A$5:$A$96,0)),"")</f>
        <v>0</v>
      </c>
      <c r="AF109" s="102">
        <f>IFERROR(INDEX('I2017'!F$5:F$96,MATCH($C109,'I2017'!$A$5:$A$96,0)),"")</f>
        <v>22.94</v>
      </c>
      <c r="AG109" s="102">
        <f>IFERROR(INDEX('I2017'!G$5:G$96,MATCH($C109,'I2017'!$A$5:$A$96,0)),"")</f>
        <v>39.9</v>
      </c>
      <c r="AH109" s="102">
        <f>IFERROR(INDEX('I2017'!H$5:H$96,MATCH($C109,'I2017'!$A$5:$A$96,0)),"")</f>
        <v>47.88</v>
      </c>
      <c r="AI109" s="102">
        <f>IFERROR(INDEX('I2017'!I$5:I$96,MATCH($C109,'I2017'!$A$5:$A$96,0)),"")</f>
        <v>15.96</v>
      </c>
      <c r="AJ109" s="102">
        <f>IFERROR(INDEX('I2017'!J$5:J$96,MATCH($C109,'I2017'!$A$5:$A$96,0)),"")</f>
        <v>3.99</v>
      </c>
      <c r="AK109" s="102">
        <f>IFERROR(INDEX('I2017'!K$5:K$96,MATCH($C109,'I2017'!$A$5:$A$96,0)),"")</f>
        <v>7.98</v>
      </c>
      <c r="AL109" s="102">
        <f>IFERROR(INDEX('I2017'!L$5:L$96,MATCH($C109,'I2017'!$A$5:$A$96,0)),"")</f>
        <v>3.99</v>
      </c>
      <c r="AM109" s="102">
        <f>IFERROR(INDEX('I2017'!M$5:M$96,MATCH($C109,'I2017'!$A$5:$A$96,0)),"")</f>
        <v>7.18</v>
      </c>
      <c r="AN109" s="102">
        <f>IFERROR(INDEX('I2018'!B$5:B$107,MATCH($C109,'I2018'!$A$5:$A$107,0)),"")</f>
        <v>0</v>
      </c>
      <c r="AO109" s="102">
        <f>IFERROR(INDEX('I2018'!C$5:C$107,MATCH($C109,'I2018'!$A$5:$A$107,0)),"")</f>
        <v>0</v>
      </c>
      <c r="AP109" s="102">
        <f>IFERROR(INDEX('I2018'!D$5:D$107,MATCH($C109,'I2018'!$A$5:$A$107,0)),"")</f>
        <v>0</v>
      </c>
      <c r="AQ109" s="102">
        <f>IFERROR(INDEX('I2018'!E$5:E$107,MATCH($C109,'I2018'!$A$5:$A$107,0)),"")</f>
        <v>4</v>
      </c>
      <c r="AR109" s="102">
        <f>IFERROR(INDEX('I2018'!F$5:F$107,MATCH($C109,'I2018'!$A$5:$A$107,0)),"")</f>
        <v>0</v>
      </c>
      <c r="AS109" s="102">
        <f>IFERROR(INDEX('I2018'!G$5:G$107,MATCH($C109,'I2018'!$A$5:$A$107,0)),"")</f>
        <v>12</v>
      </c>
      <c r="AT109" s="102">
        <f>IFERROR(INDEX('I2018'!H$5:H$107,MATCH($C109,'I2018'!$A$5:$A$107,0)),"")</f>
        <v>0</v>
      </c>
      <c r="AU109" s="102">
        <f>IFERROR(INDEX('I2018'!I$5:I$107,MATCH($C109,'I2018'!$A$5:$A$107,0)),"")</f>
        <v>0</v>
      </c>
      <c r="AV109" s="102">
        <f>IFERROR(INDEX('I2018'!J$5:J$107,MATCH($C109,'I2018'!$A$5:$A$107,0)),"")</f>
        <v>0</v>
      </c>
      <c r="AW109" s="102">
        <f>IFERROR(INDEX('I2018'!K$5:K$107,MATCH($C109,'I2018'!$A$5:$A$107,0)),"")</f>
        <v>0</v>
      </c>
      <c r="AX109" s="102">
        <f>IFERROR(INDEX('I2018'!L$5:L$107,MATCH($C109,'I2018'!$A$5:$A$107,0)),"")</f>
        <v>0</v>
      </c>
      <c r="AY109" s="102">
        <f>IFERROR(INDEX('I2018'!M$5:M$107,MATCH($C109,'I2018'!$A$5:$A$107,0)),"")</f>
        <v>0</v>
      </c>
      <c r="AZ109" s="102" t="str">
        <f>IFERROR(INDEX('I2019'!B$5:B$112,MATCH($C109,'I2019'!$A$5:$A$112,0)),"")</f>
        <v/>
      </c>
      <c r="BA109" s="102" t="str">
        <f>IFERROR(INDEX('I2019'!C$5:C$112,MATCH($C109,'I2019'!$A$5:$A$112,0)),"")</f>
        <v/>
      </c>
      <c r="BB109" s="102" t="str">
        <f>IFERROR(INDEX('I2019'!D$5:D$112,MATCH($C109,'I2019'!$A$5:$A$112,0)),"")</f>
        <v/>
      </c>
      <c r="BC109" s="102" t="str">
        <f>IFERROR(INDEX('I2019'!E$5:E$112,MATCH($C109,'I2019'!$A$5:$A$112,0)),"")</f>
        <v/>
      </c>
      <c r="BD109" s="102" t="str">
        <f>IFERROR(INDEX('I2019'!F$5:F$112,MATCH($C109,'I2019'!$A$5:$A$112,0)),"")</f>
        <v/>
      </c>
      <c r="BE109" s="102" t="str">
        <f>IFERROR(INDEX('I2019'!G$5:G$112,MATCH($C109,'I2019'!$A$5:$A$112,0)),"")</f>
        <v/>
      </c>
      <c r="BF109" s="102" t="str">
        <f>IFERROR(INDEX('I2019'!H$5:H$112,MATCH($C109,'I2019'!$A$5:$A$112,0)),"")</f>
        <v/>
      </c>
      <c r="BG109" s="102" t="str">
        <f>IFERROR(INDEX('I2019'!I$5:I$112,MATCH($C109,'I2019'!$A$5:$A$112,0)),"")</f>
        <v/>
      </c>
      <c r="BH109" s="102" t="str">
        <f>IFERROR(INDEX('I2019'!J$5:J$112,MATCH($C109,'I2019'!$A$5:$A$112,0)),"")</f>
        <v/>
      </c>
      <c r="BI109" s="102" t="str">
        <f>IFERROR(INDEX('I2019'!K$5:K$112,MATCH($C109,'I2019'!$A$5:$A$112,0)),"")</f>
        <v/>
      </c>
      <c r="BJ109" s="102" t="str">
        <f>IFERROR(INDEX('I2019'!L$5:L$112,MATCH($C109,'I2019'!$A$5:$A$112,0)),"")</f>
        <v/>
      </c>
      <c r="BK109" s="102" t="str">
        <f>IFERROR(INDEX('I2019'!M$5:M$112,MATCH($C109,'I2019'!$A$5:$A$112,0)),"")</f>
        <v/>
      </c>
      <c r="BL109" s="102" t="str">
        <f>IFERROR(INDEX('I2020'!B$5:B$113,MATCH($C109,'I2020'!$A$5:$A$113,0)),"")</f>
        <v/>
      </c>
      <c r="BM109" s="102" t="str">
        <f>IFERROR(INDEX('I2020'!C$5:C$113,MATCH($C109,'I2020'!$A$5:$A$113,0)),"")</f>
        <v/>
      </c>
      <c r="BN109" s="102" t="str">
        <f>IFERROR(INDEX('I2020'!D$5:D$113,MATCH($C109,'I2020'!$A$5:$A$113,0)),"")</f>
        <v/>
      </c>
      <c r="BO109" s="102" t="str">
        <f>IFERROR(INDEX('I2020'!E$5:E$113,MATCH($C109,'I2020'!$A$5:$A$113,0)),"")</f>
        <v/>
      </c>
      <c r="BP109" s="102" t="str">
        <f>IFERROR(INDEX('I2020'!F$5:F$113,MATCH($C109,'I2020'!$A$5:$A$113,0)),"")</f>
        <v/>
      </c>
      <c r="BQ109" s="392" t="str">
        <f>IFERROR(INDEX('I2020'!G$5:G$113,MATCH($C109,'I2020'!$A$5:$A$113,0)),"")</f>
        <v/>
      </c>
      <c r="BR109" s="64"/>
      <c r="BS109" s="64"/>
      <c r="BT109" s="64"/>
      <c r="BU109" s="64"/>
      <c r="BV109" s="64"/>
      <c r="BW109" s="64"/>
      <c r="BX109" s="64"/>
      <c r="BY109" s="64"/>
      <c r="BZ109" s="64"/>
      <c r="CA109" s="64"/>
      <c r="CB109" s="64"/>
      <c r="CC109" s="64"/>
      <c r="CD109" s="64"/>
      <c r="CE109" s="64"/>
      <c r="CF109" s="64"/>
      <c r="CG109" s="64"/>
      <c r="CH109" s="64"/>
      <c r="CI109" s="124"/>
      <c r="CJ109" s="134"/>
    </row>
    <row r="110" spans="1:88" x14ac:dyDescent="0.3">
      <c r="A110" s="33"/>
      <c r="B110" s="68"/>
      <c r="C110" s="21" t="s">
        <v>80</v>
      </c>
      <c r="D110" s="102" t="str">
        <f>IFERROR(INDEX('I2015'!B$5:B$73,MATCH($C110,'I2015'!$A$5:$A$73,0)),"")</f>
        <v/>
      </c>
      <c r="E110" s="102" t="str">
        <f>IFERROR(INDEX('I2015'!C$5:C$73,MATCH($C110,'I2015'!$A$5:$A$73,0)),"")</f>
        <v/>
      </c>
      <c r="F110" s="102" t="str">
        <f>IFERROR(INDEX('I2015'!D$5:D$73,MATCH($C110,'I2015'!$A$5:$A$73,0)),"")</f>
        <v/>
      </c>
      <c r="G110" s="102" t="str">
        <f>IFERROR(INDEX('I2015'!E$5:E$73,MATCH($C110,'I2015'!$A$5:$A$73,0)),"")</f>
        <v/>
      </c>
      <c r="H110" s="102" t="str">
        <f>IFERROR(INDEX('I2015'!F$5:F$73,MATCH($C110,'I2015'!$A$5:$A$73,0)),"")</f>
        <v/>
      </c>
      <c r="I110" s="102" t="str">
        <f>IFERROR(INDEX('I2015'!G$5:G$73,MATCH($C110,'I2015'!$A$5:$A$73,0)),"")</f>
        <v/>
      </c>
      <c r="J110" s="102" t="str">
        <f>IFERROR(INDEX('I2015'!H$5:H$73,MATCH($C110,'I2015'!$A$5:$A$73,0)),"")</f>
        <v/>
      </c>
      <c r="K110" s="102" t="str">
        <f>IFERROR(INDEX('I2015'!I$5:I$73,MATCH($C110,'I2015'!$A$5:$A$73,0)),"")</f>
        <v/>
      </c>
      <c r="L110" s="102" t="str">
        <f>IFERROR(INDEX('I2015'!J$5:J$73,MATCH($C110,'I2015'!$A$5:$A$73,0)),"")</f>
        <v/>
      </c>
      <c r="M110" s="102" t="str">
        <f>IFERROR(INDEX('I2015'!K$5:K$73,MATCH($C110,'I2015'!$A$5:$A$73,0)),"")</f>
        <v/>
      </c>
      <c r="N110" s="102" t="str">
        <f>IFERROR(INDEX('I2015'!L$5:L$73,MATCH($C110,'I2015'!$A$5:$A$73,0)),"")</f>
        <v/>
      </c>
      <c r="O110" s="102" t="str">
        <f>IFERROR(INDEX('I2015'!M$5:M$73,MATCH($C110,'I2015'!$A$5:$A$73,0)),"")</f>
        <v/>
      </c>
      <c r="P110" s="102" t="str">
        <f>IFERROR(INDEX('I2016'!B$5:B$90,MATCH($C110,'I2016'!$A$5:$A$90,0)),"")</f>
        <v/>
      </c>
      <c r="Q110" s="102" t="str">
        <f>IFERROR(INDEX('I2016'!C$5:C$90,MATCH($C110,'I2016'!$A$5:$A$90,0)),"")</f>
        <v/>
      </c>
      <c r="R110" s="102" t="str">
        <f>IFERROR(INDEX('I2016'!D$5:D$90,MATCH($C110,'I2016'!$A$5:$A$90,0)),"")</f>
        <v/>
      </c>
      <c r="S110" s="102" t="str">
        <f>IFERROR(INDEX('I2016'!E$5:E$90,MATCH($C110,'I2016'!$A$5:$A$90,0)),"")</f>
        <v/>
      </c>
      <c r="T110" s="102" t="str">
        <f>IFERROR(INDEX('I2016'!F$5:F$90,MATCH($C110,'I2016'!$A$5:$A$90,0)),"")</f>
        <v/>
      </c>
      <c r="U110" s="102" t="str">
        <f>IFERROR(INDEX('I2016'!G$5:G$90,MATCH($C110,'I2016'!$A$5:$A$90,0)),"")</f>
        <v/>
      </c>
      <c r="V110" s="102" t="str">
        <f>IFERROR(INDEX('I2016'!H$5:H$90,MATCH($C110,'I2016'!$A$5:$A$90,0)),"")</f>
        <v/>
      </c>
      <c r="W110" s="102" t="str">
        <f>IFERROR(INDEX('I2016'!I$5:I$90,MATCH($C110,'I2016'!$A$5:$A$90,0)),"")</f>
        <v/>
      </c>
      <c r="X110" s="102" t="str">
        <f>IFERROR(INDEX('I2016'!J$5:J$90,MATCH($C110,'I2016'!$A$5:$A$90,0)),"")</f>
        <v/>
      </c>
      <c r="Y110" s="102" t="str">
        <f>IFERROR(INDEX('I2016'!K$5:K$90,MATCH($C110,'I2016'!$A$5:$A$90,0)),"")</f>
        <v/>
      </c>
      <c r="Z110" s="102" t="str">
        <f>IFERROR(INDEX('I2016'!L$5:L$90,MATCH($C110,'I2016'!$A$5:$A$90,0)),"")</f>
        <v/>
      </c>
      <c r="AA110" s="102" t="str">
        <f>IFERROR(INDEX('I2016'!M$5:M$90,MATCH($C110,'I2016'!$A$5:$A$90,0)),"")</f>
        <v/>
      </c>
      <c r="AB110" s="102">
        <f>IFERROR(INDEX('I2017'!B$5:B$96,MATCH($C110,'I2017'!$A$5:$A$96,0)),"")</f>
        <v>3800</v>
      </c>
      <c r="AC110" s="102">
        <f>IFERROR(INDEX('I2017'!C$5:C$96,MATCH($C110,'I2017'!$A$5:$A$96,0)),"")</f>
        <v>3350</v>
      </c>
      <c r="AD110" s="102">
        <f>IFERROR(INDEX('I2017'!D$5:D$96,MATCH($C110,'I2017'!$A$5:$A$96,0)),"")</f>
        <v>4200</v>
      </c>
      <c r="AE110" s="102">
        <f>IFERROR(INDEX('I2017'!E$5:E$96,MATCH($C110,'I2017'!$A$5:$A$96,0)),"")</f>
        <v>3850</v>
      </c>
      <c r="AF110" s="102">
        <f>IFERROR(INDEX('I2017'!F$5:F$96,MATCH($C110,'I2017'!$A$5:$A$96,0)),"")</f>
        <v>3950</v>
      </c>
      <c r="AG110" s="102">
        <f>IFERROR(INDEX('I2017'!G$5:G$96,MATCH($C110,'I2017'!$A$5:$A$96,0)),"")</f>
        <v>3450</v>
      </c>
      <c r="AH110" s="102">
        <f>IFERROR(INDEX('I2017'!H$5:H$96,MATCH($C110,'I2017'!$A$5:$A$96,0)),"")</f>
        <v>3800</v>
      </c>
      <c r="AI110" s="102">
        <f>IFERROR(INDEX('I2017'!I$5:I$96,MATCH($C110,'I2017'!$A$5:$A$96,0)),"")</f>
        <v>4400</v>
      </c>
      <c r="AJ110" s="102">
        <f>IFERROR(INDEX('I2017'!J$5:J$96,MATCH($C110,'I2017'!$A$5:$A$96,0)),"")</f>
        <v>4700</v>
      </c>
      <c r="AK110" s="102">
        <f>IFERROR(INDEX('I2017'!K$5:K$96,MATCH($C110,'I2017'!$A$5:$A$96,0)),"")</f>
        <v>6800</v>
      </c>
      <c r="AL110" s="102">
        <f>IFERROR(INDEX('I2017'!L$5:L$96,MATCH($C110,'I2017'!$A$5:$A$96,0)),"")</f>
        <v>6250</v>
      </c>
      <c r="AM110" s="102">
        <f>IFERROR(INDEX('I2017'!M$5:M$96,MATCH($C110,'I2017'!$A$5:$A$96,0)),"")</f>
        <v>5000</v>
      </c>
      <c r="AN110" s="102">
        <f>IFERROR(INDEX('I2018'!B$5:B$107,MATCH($C110,'I2018'!$A$5:$A$107,0)),"")</f>
        <v>6400</v>
      </c>
      <c r="AO110" s="102">
        <f>IFERROR(INDEX('I2018'!C$5:C$107,MATCH($C110,'I2018'!$A$5:$A$107,0)),"")</f>
        <v>4800</v>
      </c>
      <c r="AP110" s="102">
        <f>IFERROR(INDEX('I2018'!D$5:D$107,MATCH($C110,'I2018'!$A$5:$A$107,0)),"")</f>
        <v>6000</v>
      </c>
      <c r="AQ110" s="102">
        <f>IFERROR(INDEX('I2018'!E$5:E$107,MATCH($C110,'I2018'!$A$5:$A$107,0)),"")</f>
        <v>5000</v>
      </c>
      <c r="AR110" s="102">
        <f>IFERROR(INDEX('I2018'!F$5:F$107,MATCH($C110,'I2018'!$A$5:$A$107,0)),"")</f>
        <v>3000</v>
      </c>
      <c r="AS110" s="102">
        <f>IFERROR(INDEX('I2018'!G$5:G$107,MATCH($C110,'I2018'!$A$5:$A$107,0)),"")</f>
        <v>5000</v>
      </c>
      <c r="AT110" s="102">
        <f>IFERROR(INDEX('I2018'!H$5:H$107,MATCH($C110,'I2018'!$A$5:$A$107,0)),"")</f>
        <v>4000</v>
      </c>
      <c r="AU110" s="102">
        <f>IFERROR(INDEX('I2018'!I$5:I$107,MATCH($C110,'I2018'!$A$5:$A$107,0)),"")</f>
        <v>4000</v>
      </c>
      <c r="AV110" s="102">
        <f>IFERROR(INDEX('I2018'!J$5:J$107,MATCH($C110,'I2018'!$A$5:$A$107,0)),"")</f>
        <v>5000</v>
      </c>
      <c r="AW110" s="102">
        <f>IFERROR(INDEX('I2018'!K$5:K$107,MATCH($C110,'I2018'!$A$5:$A$107,0)),"")</f>
        <v>3000</v>
      </c>
      <c r="AX110" s="102">
        <f>IFERROR(INDEX('I2018'!L$5:L$107,MATCH($C110,'I2018'!$A$5:$A$107,0)),"")</f>
        <v>4000</v>
      </c>
      <c r="AY110" s="102">
        <f>IFERROR(INDEX('I2018'!M$5:M$107,MATCH($C110,'I2018'!$A$5:$A$107,0)),"")</f>
        <v>3000</v>
      </c>
      <c r="AZ110" s="102">
        <f>IFERROR(INDEX('I2019'!B$5:B$112,MATCH($C110,'I2019'!$A$5:$A$112,0)),"")</f>
        <v>6000</v>
      </c>
      <c r="BA110" s="102">
        <f>IFERROR(INDEX('I2019'!C$5:C$112,MATCH($C110,'I2019'!$A$5:$A$112,0)),"")</f>
        <v>5000</v>
      </c>
      <c r="BB110" s="102">
        <f>IFERROR(INDEX('I2019'!D$5:D$112,MATCH($C110,'I2019'!$A$5:$A$112,0)),"")</f>
        <v>4000</v>
      </c>
      <c r="BC110" s="102">
        <f>IFERROR(INDEX('I2019'!E$5:E$112,MATCH($C110,'I2019'!$A$5:$A$112,0)),"")</f>
        <v>4000</v>
      </c>
      <c r="BD110" s="102">
        <f>IFERROR(INDEX('I2019'!F$5:F$112,MATCH($C110,'I2019'!$A$5:$A$112,0)),"")</f>
        <v>4000</v>
      </c>
      <c r="BE110" s="102">
        <f>IFERROR(INDEX('I2019'!G$5:G$112,MATCH($C110,'I2019'!$A$5:$A$112,0)),"")</f>
        <v>1000</v>
      </c>
      <c r="BF110" s="102">
        <f>IFERROR(INDEX('I2019'!H$5:H$112,MATCH($C110,'I2019'!$A$5:$A$112,0)),"")</f>
        <v>0</v>
      </c>
      <c r="BG110" s="102">
        <f>IFERROR(INDEX('I2019'!I$5:I$112,MATCH($C110,'I2019'!$A$5:$A$112,0)),"")</f>
        <v>0</v>
      </c>
      <c r="BH110" s="102">
        <f>IFERROR(INDEX('I2019'!J$5:J$112,MATCH($C110,'I2019'!$A$5:$A$112,0)),"")</f>
        <v>0</v>
      </c>
      <c r="BI110" s="102">
        <f>IFERROR(INDEX('I2019'!K$5:K$112,MATCH($C110,'I2019'!$A$5:$A$112,0)),"")</f>
        <v>0</v>
      </c>
      <c r="BJ110" s="102">
        <f>IFERROR(INDEX('I2019'!L$5:L$112,MATCH($C110,'I2019'!$A$5:$A$112,0)),"")</f>
        <v>0</v>
      </c>
      <c r="BK110" s="102">
        <f>IFERROR(INDEX('I2019'!M$5:M$112,MATCH($C110,'I2019'!$A$5:$A$112,0)),"")</f>
        <v>0</v>
      </c>
      <c r="BL110" s="102" t="str">
        <f>IFERROR(INDEX('I2020'!B$5:B$113,MATCH($C110,'I2020'!$A$5:$A$113,0)),"")</f>
        <v/>
      </c>
      <c r="BM110" s="102" t="str">
        <f>IFERROR(INDEX('I2020'!C$5:C$113,MATCH($C110,'I2020'!$A$5:$A$113,0)),"")</f>
        <v/>
      </c>
      <c r="BN110" s="102" t="str">
        <f>IFERROR(INDEX('I2020'!D$5:D$113,MATCH($C110,'I2020'!$A$5:$A$113,0)),"")</f>
        <v/>
      </c>
      <c r="BO110" s="102" t="str">
        <f>IFERROR(INDEX('I2020'!E$5:E$113,MATCH($C110,'I2020'!$A$5:$A$113,0)),"")</f>
        <v/>
      </c>
      <c r="BP110" s="102" t="str">
        <f>IFERROR(INDEX('I2020'!F$5:F$113,MATCH($C110,'I2020'!$A$5:$A$113,0)),"")</f>
        <v/>
      </c>
      <c r="BQ110" s="392" t="str">
        <f>IFERROR(INDEX('I2020'!G$5:G$113,MATCH($C110,'I2020'!$A$5:$A$113,0)),"")</f>
        <v/>
      </c>
      <c r="BR110" s="64"/>
      <c r="BS110" s="64"/>
      <c r="BT110" s="64"/>
      <c r="BU110" s="64"/>
      <c r="BV110" s="64"/>
      <c r="BW110" s="64"/>
      <c r="BX110" s="64"/>
      <c r="BY110" s="64"/>
      <c r="BZ110" s="64"/>
      <c r="CA110" s="64"/>
      <c r="CB110" s="64"/>
      <c r="CC110" s="64"/>
      <c r="CD110" s="64"/>
      <c r="CE110" s="64"/>
      <c r="CF110" s="64"/>
      <c r="CG110" s="64"/>
      <c r="CH110" s="64"/>
      <c r="CI110" s="124"/>
      <c r="CJ110" s="134"/>
    </row>
    <row r="111" spans="1:88" x14ac:dyDescent="0.3">
      <c r="A111" s="33"/>
      <c r="B111" s="68"/>
      <c r="C111" s="21" t="s">
        <v>81</v>
      </c>
      <c r="D111" s="22" t="str">
        <f>IFERROR(INDEX('I2015'!B$5:B$73,MATCH($C111,'I2015'!$A$5:$A$73,0)),"")</f>
        <v/>
      </c>
      <c r="E111" s="22" t="str">
        <f>IFERROR(INDEX('I2015'!C$5:C$73,MATCH($C111,'I2015'!$A$5:$A$73,0)),"")</f>
        <v/>
      </c>
      <c r="F111" s="22" t="str">
        <f>IFERROR(INDEX('I2015'!D$5:D$73,MATCH($C111,'I2015'!$A$5:$A$73,0)),"")</f>
        <v/>
      </c>
      <c r="G111" s="22" t="str">
        <f>IFERROR(INDEX('I2015'!E$5:E$73,MATCH($C111,'I2015'!$A$5:$A$73,0)),"")</f>
        <v/>
      </c>
      <c r="H111" s="22" t="str">
        <f>IFERROR(INDEX('I2015'!F$5:F$73,MATCH($C111,'I2015'!$A$5:$A$73,0)),"")</f>
        <v/>
      </c>
      <c r="I111" s="22" t="str">
        <f>IFERROR(INDEX('I2015'!G$5:G$73,MATCH($C111,'I2015'!$A$5:$A$73,0)),"")</f>
        <v/>
      </c>
      <c r="J111" s="22" t="str">
        <f>IFERROR(INDEX('I2015'!H$5:H$73,MATCH($C111,'I2015'!$A$5:$A$73,0)),"")</f>
        <v/>
      </c>
      <c r="K111" s="22" t="str">
        <f>IFERROR(INDEX('I2015'!I$5:I$73,MATCH($C111,'I2015'!$A$5:$A$73,0)),"")</f>
        <v/>
      </c>
      <c r="L111" s="22" t="str">
        <f>IFERROR(INDEX('I2015'!J$5:J$73,MATCH($C111,'I2015'!$A$5:$A$73,0)),"")</f>
        <v/>
      </c>
      <c r="M111" s="22" t="str">
        <f>IFERROR(INDEX('I2015'!K$5:K$73,MATCH($C111,'I2015'!$A$5:$A$73,0)),"")</f>
        <v/>
      </c>
      <c r="N111" s="22" t="str">
        <f>IFERROR(INDEX('I2015'!L$5:L$73,MATCH($C111,'I2015'!$A$5:$A$73,0)),"")</f>
        <v/>
      </c>
      <c r="O111" s="22" t="str">
        <f>IFERROR(INDEX('I2015'!M$5:M$73,MATCH($C111,'I2015'!$A$5:$A$73,0)),"")</f>
        <v/>
      </c>
      <c r="P111" s="22" t="str">
        <f>IFERROR(INDEX('I2016'!B$5:B$90,MATCH($C111,'I2016'!$A$5:$A$90,0)),"")</f>
        <v/>
      </c>
      <c r="Q111" s="22" t="str">
        <f>IFERROR(INDEX('I2016'!C$5:C$90,MATCH($C111,'I2016'!$A$5:$A$90,0)),"")</f>
        <v/>
      </c>
      <c r="R111" s="22" t="str">
        <f>IFERROR(INDEX('I2016'!D$5:D$90,MATCH($C111,'I2016'!$A$5:$A$90,0)),"")</f>
        <v/>
      </c>
      <c r="S111" s="22" t="str">
        <f>IFERROR(INDEX('I2016'!E$5:E$90,MATCH($C111,'I2016'!$A$5:$A$90,0)),"")</f>
        <v/>
      </c>
      <c r="T111" s="22" t="str">
        <f>IFERROR(INDEX('I2016'!F$5:F$90,MATCH($C111,'I2016'!$A$5:$A$90,0)),"")</f>
        <v/>
      </c>
      <c r="U111" s="22" t="str">
        <f>IFERROR(INDEX('I2016'!G$5:G$90,MATCH($C111,'I2016'!$A$5:$A$90,0)),"")</f>
        <v/>
      </c>
      <c r="V111" s="22" t="str">
        <f>IFERROR(INDEX('I2016'!H$5:H$90,MATCH($C111,'I2016'!$A$5:$A$90,0)),"")</f>
        <v/>
      </c>
      <c r="W111" s="22" t="str">
        <f>IFERROR(INDEX('I2016'!I$5:I$90,MATCH($C111,'I2016'!$A$5:$A$90,0)),"")</f>
        <v/>
      </c>
      <c r="X111" s="22" t="str">
        <f>IFERROR(INDEX('I2016'!J$5:J$90,MATCH($C111,'I2016'!$A$5:$A$90,0)),"")</f>
        <v/>
      </c>
      <c r="Y111" s="22" t="str">
        <f>IFERROR(INDEX('I2016'!K$5:K$90,MATCH($C111,'I2016'!$A$5:$A$90,0)),"")</f>
        <v/>
      </c>
      <c r="Z111" s="22" t="str">
        <f>IFERROR(INDEX('I2016'!L$5:L$90,MATCH($C111,'I2016'!$A$5:$A$90,0)),"")</f>
        <v/>
      </c>
      <c r="AA111" s="22" t="str">
        <f>IFERROR(INDEX('I2016'!M$5:M$90,MATCH($C111,'I2016'!$A$5:$A$90,0)),"")</f>
        <v/>
      </c>
      <c r="AB111" s="22">
        <f>IFERROR(INDEX('I2017'!B$5:B$96,MATCH($C111,'I2017'!$A$5:$A$96,0)),"")</f>
        <v>50.42</v>
      </c>
      <c r="AC111" s="22">
        <f>IFERROR(INDEX('I2017'!C$5:C$96,MATCH($C111,'I2017'!$A$5:$A$96,0)),"")</f>
        <v>146.9</v>
      </c>
      <c r="AD111" s="22">
        <f>IFERROR(INDEX('I2017'!D$5:D$96,MATCH($C111,'I2017'!$A$5:$A$96,0)),"")</f>
        <v>203.26</v>
      </c>
      <c r="AE111" s="22">
        <f>IFERROR(INDEX('I2017'!E$5:E$96,MATCH($C111,'I2017'!$A$5:$A$96,0)),"")</f>
        <v>229.17</v>
      </c>
      <c r="AF111" s="22">
        <f>IFERROR(INDEX('I2017'!F$5:F$96,MATCH($C111,'I2017'!$A$5:$A$96,0)),"")</f>
        <v>290.87</v>
      </c>
      <c r="AG111" s="22">
        <f>IFERROR(INDEX('I2017'!G$5:G$96,MATCH($C111,'I2017'!$A$5:$A$96,0)),"")</f>
        <v>286.27</v>
      </c>
      <c r="AH111" s="22">
        <f>IFERROR(INDEX('I2017'!H$5:H$96,MATCH($C111,'I2017'!$A$5:$A$96,0)),"")</f>
        <v>267.13</v>
      </c>
      <c r="AI111" s="22">
        <f>IFERROR(INDEX('I2017'!I$5:I$96,MATCH($C111,'I2017'!$A$5:$A$96,0)),"")</f>
        <v>312.58</v>
      </c>
      <c r="AJ111" s="22">
        <f>IFERROR(INDEX('I2017'!J$5:J$96,MATCH($C111,'I2017'!$A$5:$A$96,0)),"")</f>
        <v>336.95</v>
      </c>
      <c r="AK111" s="22">
        <f>IFERROR(INDEX('I2017'!K$5:K$96,MATCH($C111,'I2017'!$A$5:$A$96,0)),"")</f>
        <v>321.33999999999997</v>
      </c>
      <c r="AL111" s="22">
        <f>IFERROR(INDEX('I2017'!L$5:L$96,MATCH($C111,'I2017'!$A$5:$A$96,0)),"")</f>
        <v>338.06</v>
      </c>
      <c r="AM111" s="22">
        <f>IFERROR(INDEX('I2017'!M$5:M$96,MATCH($C111,'I2017'!$A$5:$A$96,0)),"")</f>
        <v>298.27</v>
      </c>
      <c r="AN111" s="22">
        <f>IFERROR(INDEX('I2018'!B$5:B$107,MATCH($C111,'I2018'!$A$5:$A$107,0)),"")</f>
        <v>281.08</v>
      </c>
      <c r="AO111" s="22">
        <f>IFERROR(INDEX('I2018'!C$5:C$107,MATCH($C111,'I2018'!$A$5:$A$107,0)),"")</f>
        <v>314.16000000000003</v>
      </c>
      <c r="AP111" s="22">
        <f>IFERROR(INDEX('I2018'!D$5:D$107,MATCH($C111,'I2018'!$A$5:$A$107,0)),"")</f>
        <v>482.63</v>
      </c>
      <c r="AQ111" s="22">
        <f>IFERROR(INDEX('I2018'!E$5:E$107,MATCH($C111,'I2018'!$A$5:$A$107,0)),"")</f>
        <v>449.72</v>
      </c>
      <c r="AR111" s="22">
        <f>IFERROR(INDEX('I2018'!F$5:F$107,MATCH($C111,'I2018'!$A$5:$A$107,0)),"")</f>
        <v>457.2</v>
      </c>
      <c r="AS111" s="22">
        <f>IFERROR(INDEX('I2018'!G$5:G$107,MATCH($C111,'I2018'!$A$5:$A$107,0)),"")</f>
        <v>799.54</v>
      </c>
      <c r="AT111" s="22">
        <f>IFERROR(INDEX('I2018'!H$5:H$107,MATCH($C111,'I2018'!$A$5:$A$107,0)),"")</f>
        <v>589.28</v>
      </c>
      <c r="AU111" s="22">
        <f>IFERROR(INDEX('I2018'!I$5:I$107,MATCH($C111,'I2018'!$A$5:$A$107,0)),"")</f>
        <v>588.97</v>
      </c>
      <c r="AV111" s="22">
        <f>IFERROR(INDEX('I2018'!J$5:J$107,MATCH($C111,'I2018'!$A$5:$A$107,0)),"")</f>
        <v>637.41999999999996</v>
      </c>
      <c r="AW111" s="22">
        <f>IFERROR(INDEX('I2018'!K$5:K$107,MATCH($C111,'I2018'!$A$5:$A$107,0)),"")</f>
        <v>800.63</v>
      </c>
      <c r="AX111" s="22">
        <f>IFERROR(INDEX('I2018'!L$5:L$107,MATCH($C111,'I2018'!$A$5:$A$107,0)),"")</f>
        <v>853.72</v>
      </c>
      <c r="AY111" s="22">
        <f>IFERROR(INDEX('I2018'!M$5:M$107,MATCH($C111,'I2018'!$A$5:$A$107,0)),"")</f>
        <v>785.92</v>
      </c>
      <c r="AZ111" s="22">
        <f>IFERROR(INDEX('I2019'!B$5:B$112,MATCH($C111,'I2019'!$A$5:$A$112,0)),"")</f>
        <v>852.33</v>
      </c>
      <c r="BA111" s="22">
        <f>IFERROR(INDEX('I2019'!C$5:C$112,MATCH($C111,'I2019'!$A$5:$A$112,0)),"")</f>
        <v>769.79</v>
      </c>
      <c r="BB111" s="22">
        <f>IFERROR(INDEX('I2019'!D$5:D$112,MATCH($C111,'I2019'!$A$5:$A$112,0)),"")</f>
        <v>733.91</v>
      </c>
      <c r="BC111" s="22">
        <f>IFERROR(INDEX('I2019'!E$5:E$112,MATCH($C111,'I2019'!$A$5:$A$112,0)),"")</f>
        <v>756.95</v>
      </c>
      <c r="BD111" s="22">
        <f>IFERROR(INDEX('I2019'!F$5:F$112,MATCH($C111,'I2019'!$A$5:$A$112,0)),"")</f>
        <v>841.28</v>
      </c>
      <c r="BE111" s="22">
        <f>IFERROR(INDEX('I2019'!G$5:G$112,MATCH($C111,'I2019'!$A$5:$A$112,0)),"")</f>
        <v>770.44</v>
      </c>
      <c r="BF111" s="22">
        <f>IFERROR(INDEX('I2019'!H$5:H$112,MATCH($C111,'I2019'!$A$5:$A$112,0)),"")</f>
        <v>936.23</v>
      </c>
      <c r="BG111" s="22">
        <f>IFERROR(INDEX('I2019'!I$5:I$112,MATCH($C111,'I2019'!$A$5:$A$112,0)),"")</f>
        <v>890.07</v>
      </c>
      <c r="BH111" s="22">
        <f>IFERROR(INDEX('I2019'!J$5:J$112,MATCH($C111,'I2019'!$A$5:$A$112,0)),"")</f>
        <v>768.56</v>
      </c>
      <c r="BI111" s="22">
        <f>IFERROR(INDEX('I2019'!K$5:K$112,MATCH($C111,'I2019'!$A$5:$A$112,0)),"")</f>
        <v>930.81</v>
      </c>
      <c r="BJ111" s="22">
        <f>IFERROR(INDEX('I2019'!L$5:L$112,MATCH($C111,'I2019'!$A$5:$A$112,0)),"")</f>
        <v>917.73</v>
      </c>
      <c r="BK111" s="22">
        <f>IFERROR(INDEX('I2019'!M$5:M$112,MATCH($C111,'I2019'!$A$5:$A$112,0)),"")</f>
        <v>1005.45</v>
      </c>
      <c r="BL111" s="22">
        <f>IFERROR(INDEX('I2020'!B$5:B$113,MATCH($C111,'I2020'!$A$5:$A$113,0)),"")</f>
        <v>1165.05</v>
      </c>
      <c r="BM111" s="22">
        <f>IFERROR(INDEX('I2020'!C$5:C$113,MATCH($C111,'I2020'!$A$5:$A$113,0)),"")</f>
        <v>1209.23</v>
      </c>
      <c r="BN111" s="22">
        <f>IFERROR(INDEX('I2020'!D$5:D$113,MATCH($C111,'I2020'!$A$5:$A$113,0)),"")</f>
        <v>1214.68</v>
      </c>
      <c r="BO111" s="22">
        <f>IFERROR(INDEX('I2020'!E$5:E$113,MATCH($C111,'I2020'!$A$5:$A$113,0)),"")</f>
        <v>764.48</v>
      </c>
      <c r="BP111" s="22">
        <f>IFERROR(INDEX('I2020'!F$5:F$113,MATCH($C111,'I2020'!$A$5:$A$113,0)),"")</f>
        <v>1337.9</v>
      </c>
      <c r="BQ111" s="393">
        <f>IFERROR(INDEX('I2020'!G$5:G$113,MATCH($C111,'I2020'!$A$5:$A$113,0)),"")</f>
        <v>1565.04</v>
      </c>
      <c r="BR111" s="65"/>
      <c r="BS111" s="65"/>
      <c r="BT111" s="65"/>
      <c r="BU111" s="65"/>
      <c r="BV111" s="65"/>
      <c r="BW111" s="65"/>
      <c r="BX111" s="65"/>
      <c r="BY111" s="65"/>
      <c r="BZ111" s="65"/>
      <c r="CA111" s="65"/>
      <c r="CB111" s="65"/>
      <c r="CC111" s="65"/>
      <c r="CD111" s="65"/>
      <c r="CE111" s="65"/>
      <c r="CF111" s="65"/>
      <c r="CG111" s="65"/>
      <c r="CH111" s="65"/>
      <c r="CI111" s="125"/>
      <c r="CJ111" s="134"/>
    </row>
    <row r="112" spans="1:88" x14ac:dyDescent="0.3">
      <c r="A112" s="33"/>
      <c r="B112" s="166"/>
      <c r="C112" s="26" t="s">
        <v>82</v>
      </c>
      <c r="D112" s="78">
        <f>SUM(D96:D97)</f>
        <v>538.55999999999995</v>
      </c>
      <c r="E112" s="78">
        <f t="shared" ref="E112:O112" si="94">SUM(E96:E97)</f>
        <v>1140.57</v>
      </c>
      <c r="F112" s="78">
        <f t="shared" si="94"/>
        <v>3690.73</v>
      </c>
      <c r="G112" s="78">
        <f t="shared" si="94"/>
        <v>1882.69</v>
      </c>
      <c r="H112" s="78">
        <f t="shared" si="94"/>
        <v>2419.65</v>
      </c>
      <c r="I112" s="78">
        <f t="shared" si="94"/>
        <v>4548.2</v>
      </c>
      <c r="J112" s="78">
        <f t="shared" si="94"/>
        <v>4124.1499999999996</v>
      </c>
      <c r="K112" s="78">
        <f t="shared" si="94"/>
        <v>7221.1</v>
      </c>
      <c r="L112" s="78">
        <f t="shared" si="94"/>
        <v>5749.24</v>
      </c>
      <c r="M112" s="78">
        <f t="shared" si="94"/>
        <v>7933.53</v>
      </c>
      <c r="N112" s="78">
        <f t="shared" si="94"/>
        <v>11612.88</v>
      </c>
      <c r="O112" s="78">
        <f t="shared" si="94"/>
        <v>5728.65</v>
      </c>
      <c r="P112" s="78">
        <f>IFERROR(INDEX('I2016'!B$5:B$90,MATCH($C112,'I2016'!$A$5:$A$90,0)),"")</f>
        <v>13227.08</v>
      </c>
      <c r="Q112" s="78">
        <f>IFERROR(INDEX('I2016'!C$5:C$90,MATCH($C112,'I2016'!$A$5:$A$90,0)),"")</f>
        <v>10908.060000000001</v>
      </c>
      <c r="R112" s="78">
        <f>IFERROR(INDEX('I2016'!D$5:D$90,MATCH($C112,'I2016'!$A$5:$A$90,0)),"")</f>
        <v>9786.74</v>
      </c>
      <c r="S112" s="78">
        <f>IFERROR(INDEX('I2016'!E$5:E$90,MATCH($C112,'I2016'!$A$5:$A$90,0)),"")</f>
        <v>11912.71</v>
      </c>
      <c r="T112" s="78">
        <f>IFERROR(INDEX('I2016'!F$5:F$90,MATCH($C112,'I2016'!$A$5:$A$90,0)),"")</f>
        <v>19391.599999999999</v>
      </c>
      <c r="U112" s="78">
        <f>IFERROR(INDEX('I2016'!G$5:G$90,MATCH($C112,'I2016'!$A$5:$A$90,0)),"")</f>
        <v>17253.560000000001</v>
      </c>
      <c r="V112" s="78">
        <f>IFERROR(INDEX('I2016'!H$5:H$90,MATCH($C112,'I2016'!$A$5:$A$90,0)),"")</f>
        <v>17821.600000000002</v>
      </c>
      <c r="W112" s="78">
        <f>IFERROR(INDEX('I2016'!I$5:I$90,MATCH($C112,'I2016'!$A$5:$A$90,0)),"")</f>
        <v>37775.74</v>
      </c>
      <c r="X112" s="78">
        <f>IFERROR(INDEX('I2016'!J$5:J$90,MATCH($C112,'I2016'!$A$5:$A$90,0)),"")</f>
        <v>43269.799999999996</v>
      </c>
      <c r="Y112" s="78">
        <f>IFERROR(INDEX('I2016'!K$5:K$90,MATCH($C112,'I2016'!$A$5:$A$90,0)),"")</f>
        <v>35464.82</v>
      </c>
      <c r="Z112" s="78">
        <f>IFERROR(INDEX('I2016'!L$5:L$90,MATCH($C112,'I2016'!$A$5:$A$90,0)),"")</f>
        <v>32875.4</v>
      </c>
      <c r="AA112" s="78">
        <f>IFERROR(INDEX('I2016'!M$5:M$90,MATCH($C112,'I2016'!$A$5:$A$90,0)),"")</f>
        <v>31089.71</v>
      </c>
      <c r="AB112" s="78">
        <f>IFERROR(INDEX('I2017'!B$5:B$96,MATCH($C112,'I2017'!$A$5:$A$96,0)),"")</f>
        <v>58190.080000000002</v>
      </c>
      <c r="AC112" s="78">
        <f>IFERROR(INDEX('I2017'!C$5:C$96,MATCH($C112,'I2017'!$A$5:$A$96,0)),"")</f>
        <v>44025.36</v>
      </c>
      <c r="AD112" s="78">
        <f>IFERROR(INDEX('I2017'!D$5:D$96,MATCH($C112,'I2017'!$A$5:$A$96,0)),"")</f>
        <v>51541.73</v>
      </c>
      <c r="AE112" s="78">
        <f>IFERROR(INDEX('I2017'!E$5:E$96,MATCH($C112,'I2017'!$A$5:$A$96,0)),"")</f>
        <v>47307.079999999994</v>
      </c>
      <c r="AF112" s="78">
        <f>IFERROR(INDEX('I2017'!F$5:F$96,MATCH($C112,'I2017'!$A$5:$A$96,0)),"")</f>
        <v>53774.630000000005</v>
      </c>
      <c r="AG112" s="78">
        <f>IFERROR(INDEX('I2017'!G$5:G$96,MATCH($C112,'I2017'!$A$5:$A$96,0)),"")</f>
        <v>52991.38</v>
      </c>
      <c r="AH112" s="78">
        <f>IFERROR(INDEX('I2017'!H$5:H$96,MATCH($C112,'I2017'!$A$5:$A$96,0)),"")</f>
        <v>66099.42</v>
      </c>
      <c r="AI112" s="78">
        <f>IFERROR(INDEX('I2017'!I$5:I$96,MATCH($C112,'I2017'!$A$5:$A$96,0)),"")</f>
        <v>83305.53</v>
      </c>
      <c r="AJ112" s="78">
        <f>IFERROR(INDEX('I2017'!J$5:J$96,MATCH($C112,'I2017'!$A$5:$A$96,0)),"")</f>
        <v>84358.060000000027</v>
      </c>
      <c r="AK112" s="78">
        <f>IFERROR(INDEX('I2017'!K$5:K$96,MATCH($C112,'I2017'!$A$5:$A$96,0)),"")</f>
        <v>85427.499999999985</v>
      </c>
      <c r="AL112" s="78">
        <f>IFERROR(INDEX('I2017'!L$5:L$96,MATCH($C112,'I2017'!$A$5:$A$96,0)),"")</f>
        <v>90380.38</v>
      </c>
      <c r="AM112" s="78">
        <f>IFERROR(INDEX('I2017'!M$5:M$96,MATCH($C112,'I2017'!$A$5:$A$96,0)),"")</f>
        <v>88824.65</v>
      </c>
      <c r="AN112" s="78">
        <f>IFERROR(INDEX('I2018'!B$5:B$107,MATCH($C112,'I2018'!$A$5:$A$107,0)),"")</f>
        <v>131360.99</v>
      </c>
      <c r="AO112" s="78">
        <f>IFERROR(INDEX('I2018'!C$5:C$107,MATCH($C112,'I2018'!$A$5:$A$107,0)),"")</f>
        <v>193337.21000000002</v>
      </c>
      <c r="AP112" s="78">
        <f>IFERROR(INDEX('I2018'!D$5:D$107,MATCH($C112,'I2018'!$A$5:$A$107,0)),"")</f>
        <v>236002.04</v>
      </c>
      <c r="AQ112" s="78">
        <f>IFERROR(INDEX('I2018'!E$5:E$107,MATCH($C112,'I2018'!$A$5:$A$107,0)),"")</f>
        <v>152030.50999999998</v>
      </c>
      <c r="AR112" s="78">
        <f>IFERROR(INDEX('I2018'!F$5:F$107,MATCH($C112,'I2018'!$A$5:$A$107,0)),"")</f>
        <v>227964.54</v>
      </c>
      <c r="AS112" s="78">
        <f>IFERROR(INDEX('I2018'!G$5:G$107,MATCH($C112,'I2018'!$A$5:$A$107,0)),"")</f>
        <v>301531.64</v>
      </c>
      <c r="AT112" s="78">
        <f>IFERROR(INDEX('I2018'!H$5:H$107,MATCH($C112,'I2018'!$A$5:$A$107,0)),"")</f>
        <v>346923.72000000003</v>
      </c>
      <c r="AU112" s="78">
        <f>IFERROR(INDEX('I2018'!I$5:I$107,MATCH($C112,'I2018'!$A$5:$A$107,0)),"")</f>
        <v>314207.77999999991</v>
      </c>
      <c r="AV112" s="78">
        <f>IFERROR(INDEX('I2018'!J$5:J$107,MATCH($C112,'I2018'!$A$5:$A$107,0)),"")</f>
        <v>520629.44999999995</v>
      </c>
      <c r="AW112" s="78">
        <f>IFERROR(INDEX('I2018'!K$5:K$107,MATCH($C112,'I2018'!$A$5:$A$107,0)),"")</f>
        <v>609892.66999999993</v>
      </c>
      <c r="AX112" s="78">
        <f>IFERROR(INDEX('I2018'!L$5:L$107,MATCH($C112,'I2018'!$A$5:$A$107,0)),"")</f>
        <v>313695.14999999991</v>
      </c>
      <c r="AY112" s="78">
        <f>IFERROR(INDEX('I2018'!M$5:M$107,MATCH($C112,'I2018'!$A$5:$A$107,0)),"")</f>
        <v>182714.64</v>
      </c>
      <c r="AZ112" s="78">
        <f>IFERROR(INDEX('I2019'!B$5:B$112,MATCH($C112,'I2019'!$A$5:$A$112,0)),"")</f>
        <v>242681.01</v>
      </c>
      <c r="BA112" s="78">
        <f>IFERROR(INDEX('I2019'!C$5:C$112,MATCH($C112,'I2019'!$A$5:$A$112,0)),"")</f>
        <v>254054.72000000003</v>
      </c>
      <c r="BB112" s="78">
        <f>IFERROR(INDEX('I2019'!D$5:D$112,MATCH($C112,'I2019'!$A$5:$A$112,0)),"")</f>
        <v>314236.38</v>
      </c>
      <c r="BC112" s="78">
        <f>IFERROR(INDEX('I2019'!E$5:E$112,MATCH($C112,'I2019'!$A$5:$A$112,0)),"")</f>
        <v>321128.50000000006</v>
      </c>
      <c r="BD112" s="78">
        <f>IFERROR(INDEX('I2019'!F$5:F$112,MATCH($C112,'I2019'!$A$5:$A$112,0)),"")</f>
        <v>246621.4</v>
      </c>
      <c r="BE112" s="78">
        <f>IFERROR(INDEX('I2019'!G$5:G$112,MATCH($C112,'I2019'!$A$5:$A$112,0)),"")</f>
        <v>346324.92000000004</v>
      </c>
      <c r="BF112" s="78">
        <f>IFERROR(INDEX('I2019'!H$5:H$112,MATCH($C112,'I2019'!$A$5:$A$112,0)),"")</f>
        <v>367710.83</v>
      </c>
      <c r="BG112" s="78">
        <f>IFERROR(INDEX('I2019'!I$5:I$112,MATCH($C112,'I2019'!$A$5:$A$112,0)),"")</f>
        <v>334591.38</v>
      </c>
      <c r="BH112" s="78">
        <f>IFERROR(INDEX('I2019'!J$5:J$112,MATCH($C112,'I2019'!$A$5:$A$112,0)),"")</f>
        <v>403004.08</v>
      </c>
      <c r="BI112" s="78">
        <f>IFERROR(INDEX('I2019'!K$5:K$112,MATCH($C112,'I2019'!$A$5:$A$112,0)),"")</f>
        <v>291636.95</v>
      </c>
      <c r="BJ112" s="78">
        <f>IFERROR(INDEX('I2019'!L$5:L$112,MATCH($C112,'I2019'!$A$5:$A$112,0)),"")</f>
        <v>318231.06</v>
      </c>
      <c r="BK112" s="78">
        <f>IFERROR(INDEX('I2019'!M$5:M$112,MATCH($C112,'I2019'!$A$5:$A$112,0)),"")</f>
        <v>313837.51999999996</v>
      </c>
      <c r="BL112" s="78">
        <f>IFERROR(INDEX('I2020'!B$5:B$113,MATCH($C112,'I2020'!$A$5:$A$113,0)),"")</f>
        <v>358869.06999999995</v>
      </c>
      <c r="BM112" s="78">
        <f>IFERROR(INDEX('I2020'!C$5:C$113,MATCH($C112,'I2020'!$A$5:$A$113,0)),"")</f>
        <v>332911.80999999994</v>
      </c>
      <c r="BN112" s="78">
        <f>IFERROR(INDEX('I2020'!D$5:D$113,MATCH($C112,'I2020'!$A$5:$A$113,0)),"")</f>
        <v>257653.53</v>
      </c>
      <c r="BO112" s="78">
        <f>IFERROR(INDEX('I2020'!E$5:E$113,MATCH($C112,'I2020'!$A$5:$A$113,0)),"")</f>
        <v>137489.61000000002</v>
      </c>
      <c r="BP112" s="78">
        <f>IFERROR(INDEX('I2020'!F$5:F$113,MATCH($C112,'I2020'!$A$5:$A$113,0)),"")</f>
        <v>357903.13</v>
      </c>
      <c r="BQ112" s="398">
        <f>IFERROR(INDEX('I2020'!G$5:G$113,MATCH($C112,'I2020'!$A$5:$A$113,0)),"")</f>
        <v>355742.52</v>
      </c>
      <c r="BR112" s="153">
        <f t="shared" ref="BQ112:CI112" si="95">BR22</f>
        <v>377087.07120000006</v>
      </c>
      <c r="BS112" s="153">
        <f t="shared" si="95"/>
        <v>399712.29547200009</v>
      </c>
      <c r="BT112" s="153">
        <f t="shared" si="95"/>
        <v>423695.03320032009</v>
      </c>
      <c r="BU112" s="153">
        <f t="shared" si="95"/>
        <v>449116.73519233934</v>
      </c>
      <c r="BV112" s="153">
        <f t="shared" si="95"/>
        <v>476063.73930387973</v>
      </c>
      <c r="BW112" s="153">
        <f t="shared" si="95"/>
        <v>504627.56366211252</v>
      </c>
      <c r="BX112" s="153">
        <f t="shared" si="95"/>
        <v>512196.97711704415</v>
      </c>
      <c r="BY112" s="153">
        <f t="shared" si="95"/>
        <v>519879.93177379976</v>
      </c>
      <c r="BZ112" s="153">
        <f t="shared" si="95"/>
        <v>527678.13075040677</v>
      </c>
      <c r="CA112" s="153">
        <f t="shared" si="95"/>
        <v>535593.30271166284</v>
      </c>
      <c r="CB112" s="153">
        <f t="shared" si="95"/>
        <v>543627.20225233771</v>
      </c>
      <c r="CC112" s="153">
        <f t="shared" si="95"/>
        <v>551781.61028612277</v>
      </c>
      <c r="CD112" s="153">
        <f t="shared" si="95"/>
        <v>560058.33444041456</v>
      </c>
      <c r="CE112" s="153">
        <f t="shared" si="95"/>
        <v>568459.20945702074</v>
      </c>
      <c r="CF112" s="153">
        <f t="shared" si="95"/>
        <v>576986.09759887599</v>
      </c>
      <c r="CG112" s="153">
        <f t="shared" si="95"/>
        <v>585640.88906285912</v>
      </c>
      <c r="CH112" s="153">
        <f t="shared" si="95"/>
        <v>594425.50239880197</v>
      </c>
      <c r="CI112" s="154">
        <f t="shared" si="95"/>
        <v>603341.88493478391</v>
      </c>
      <c r="CJ112" s="289"/>
    </row>
    <row r="113" spans="1:88" x14ac:dyDescent="0.3">
      <c r="A113" s="33"/>
      <c r="B113" s="68"/>
      <c r="C113" s="21" t="s">
        <v>186</v>
      </c>
      <c r="D113" s="102">
        <f>IFERROR(INDEX('I2015'!B$5:B$73,MATCH($C113,'I2015'!$A$5:$A$73,0)),"")</f>
        <v>0</v>
      </c>
      <c r="E113" s="102">
        <f>IFERROR(INDEX('I2015'!C$5:C$73,MATCH($C113,'I2015'!$A$5:$A$73,0)),"")</f>
        <v>0</v>
      </c>
      <c r="F113" s="102">
        <f>IFERROR(INDEX('I2015'!D$5:D$73,MATCH($C113,'I2015'!$A$5:$A$73,0)),"")</f>
        <v>0</v>
      </c>
      <c r="G113" s="102">
        <f>IFERROR(INDEX('I2015'!E$5:E$73,MATCH($C113,'I2015'!$A$5:$A$73,0)),"")</f>
        <v>0</v>
      </c>
      <c r="H113" s="102">
        <f>IFERROR(INDEX('I2015'!F$5:F$73,MATCH($C113,'I2015'!$A$5:$A$73,0)),"")</f>
        <v>4.7</v>
      </c>
      <c r="I113" s="102">
        <f>IFERROR(INDEX('I2015'!G$5:G$73,MATCH($C113,'I2015'!$A$5:$A$73,0)),"")</f>
        <v>4.7</v>
      </c>
      <c r="J113" s="102">
        <f>IFERROR(INDEX('I2015'!H$5:H$73,MATCH($C113,'I2015'!$A$5:$A$73,0)),"")</f>
        <v>4.7</v>
      </c>
      <c r="K113" s="102">
        <f>IFERROR(INDEX('I2015'!I$5:I$73,MATCH($C113,'I2015'!$A$5:$A$73,0)),"")</f>
        <v>0</v>
      </c>
      <c r="L113" s="102">
        <f>IFERROR(INDEX('I2015'!J$5:J$73,MATCH($C113,'I2015'!$A$5:$A$73,0)),"")</f>
        <v>4.7</v>
      </c>
      <c r="M113" s="102">
        <f>IFERROR(INDEX('I2015'!K$5:K$73,MATCH($C113,'I2015'!$A$5:$A$73,0)),"")</f>
        <v>0</v>
      </c>
      <c r="N113" s="102">
        <f>IFERROR(INDEX('I2015'!L$5:L$73,MATCH($C113,'I2015'!$A$5:$A$73,0)),"")</f>
        <v>9.4</v>
      </c>
      <c r="O113" s="102">
        <f>IFERROR(INDEX('I2015'!M$5:M$73,MATCH($C113,'I2015'!$A$5:$A$73,0)),"")</f>
        <v>0</v>
      </c>
      <c r="P113" s="102" t="str">
        <f>IFERROR(INDEX('I2016'!B$5:B$90,MATCH($C113,'I2016'!$A$5:$A$90,0)),"")</f>
        <v/>
      </c>
      <c r="Q113" s="102" t="str">
        <f>IFERROR(INDEX('I2016'!C$5:C$90,MATCH($C113,'I2016'!$A$5:$A$90,0)),"")</f>
        <v/>
      </c>
      <c r="R113" s="102" t="str">
        <f>IFERROR(INDEX('I2016'!D$5:D$90,MATCH($C113,'I2016'!$A$5:$A$90,0)),"")</f>
        <v/>
      </c>
      <c r="S113" s="102" t="str">
        <f>IFERROR(INDEX('I2016'!E$5:E$90,MATCH($C113,'I2016'!$A$5:$A$90,0)),"")</f>
        <v/>
      </c>
      <c r="T113" s="102" t="str">
        <f>IFERROR(INDEX('I2016'!F$5:F$90,MATCH($C113,'I2016'!$A$5:$A$90,0)),"")</f>
        <v/>
      </c>
      <c r="U113" s="102" t="str">
        <f>IFERROR(INDEX('I2016'!G$5:G$90,MATCH($C113,'I2016'!$A$5:$A$90,0)),"")</f>
        <v/>
      </c>
      <c r="V113" s="102" t="str">
        <f>IFERROR(INDEX('I2016'!H$5:H$90,MATCH($C113,'I2016'!$A$5:$A$90,0)),"")</f>
        <v/>
      </c>
      <c r="W113" s="102" t="str">
        <f>IFERROR(INDEX('I2016'!I$5:I$90,MATCH($C113,'I2016'!$A$5:$A$90,0)),"")</f>
        <v/>
      </c>
      <c r="X113" s="102" t="str">
        <f>IFERROR(INDEX('I2016'!J$5:J$90,MATCH($C113,'I2016'!$A$5:$A$90,0)),"")</f>
        <v/>
      </c>
      <c r="Y113" s="102" t="str">
        <f>IFERROR(INDEX('I2016'!K$5:K$90,MATCH($C113,'I2016'!$A$5:$A$90,0)),"")</f>
        <v/>
      </c>
      <c r="Z113" s="102" t="str">
        <f>IFERROR(INDEX('I2016'!L$5:L$90,MATCH($C113,'I2016'!$A$5:$A$90,0)),"")</f>
        <v/>
      </c>
      <c r="AA113" s="102" t="str">
        <f>IFERROR(INDEX('I2016'!M$5:M$90,MATCH($C113,'I2016'!$A$5:$A$90,0)),"")</f>
        <v/>
      </c>
      <c r="AB113" s="102" t="str">
        <f>IFERROR(INDEX('I2017'!B$5:B$96,MATCH($C113,'I2017'!$A$5:$A$96,0)),"")</f>
        <v/>
      </c>
      <c r="AC113" s="102" t="str">
        <f>IFERROR(INDEX('I2017'!C$5:C$96,MATCH($C113,'I2017'!$A$5:$A$96,0)),"")</f>
        <v/>
      </c>
      <c r="AD113" s="102" t="str">
        <f>IFERROR(INDEX('I2017'!D$5:D$96,MATCH($C113,'I2017'!$A$5:$A$96,0)),"")</f>
        <v/>
      </c>
      <c r="AE113" s="102" t="str">
        <f>IFERROR(INDEX('I2017'!E$5:E$96,MATCH($C113,'I2017'!$A$5:$A$96,0)),"")</f>
        <v/>
      </c>
      <c r="AF113" s="102" t="str">
        <f>IFERROR(INDEX('I2017'!F$5:F$96,MATCH($C113,'I2017'!$A$5:$A$96,0)),"")</f>
        <v/>
      </c>
      <c r="AG113" s="102" t="str">
        <f>IFERROR(INDEX('I2017'!G$5:G$96,MATCH($C113,'I2017'!$A$5:$A$96,0)),"")</f>
        <v/>
      </c>
      <c r="AH113" s="102" t="str">
        <f>IFERROR(INDEX('I2017'!H$5:H$96,MATCH($C113,'I2017'!$A$5:$A$96,0)),"")</f>
        <v/>
      </c>
      <c r="AI113" s="102" t="str">
        <f>IFERROR(INDEX('I2017'!I$5:I$96,MATCH($C113,'I2017'!$A$5:$A$96,0)),"")</f>
        <v/>
      </c>
      <c r="AJ113" s="102" t="str">
        <f>IFERROR(INDEX('I2017'!J$5:J$96,MATCH($C113,'I2017'!$A$5:$A$96,0)),"")</f>
        <v/>
      </c>
      <c r="AK113" s="102" t="str">
        <f>IFERROR(INDEX('I2017'!K$5:K$96,MATCH($C113,'I2017'!$A$5:$A$96,0)),"")</f>
        <v/>
      </c>
      <c r="AL113" s="102" t="str">
        <f>IFERROR(INDEX('I2017'!L$5:L$96,MATCH($C113,'I2017'!$A$5:$A$96,0)),"")</f>
        <v/>
      </c>
      <c r="AM113" s="102" t="str">
        <f>IFERROR(INDEX('I2017'!M$5:M$96,MATCH($C113,'I2017'!$A$5:$A$96,0)),"")</f>
        <v/>
      </c>
      <c r="AN113" s="102" t="str">
        <f>IFERROR(INDEX('I2018'!B$5:B$107,MATCH($C113,'I2018'!$A$5:$A$107,0)),"")</f>
        <v/>
      </c>
      <c r="AO113" s="102" t="str">
        <f>IFERROR(INDEX('I2018'!C$5:C$107,MATCH($C113,'I2018'!$A$5:$A$107,0)),"")</f>
        <v/>
      </c>
      <c r="AP113" s="102" t="str">
        <f>IFERROR(INDEX('I2018'!D$5:D$107,MATCH($C113,'I2018'!$A$5:$A$107,0)),"")</f>
        <v/>
      </c>
      <c r="AQ113" s="102" t="str">
        <f>IFERROR(INDEX('I2018'!E$5:E$107,MATCH($C113,'I2018'!$A$5:$A$107,0)),"")</f>
        <v/>
      </c>
      <c r="AR113" s="102" t="str">
        <f>IFERROR(INDEX('I2018'!F$5:F$107,MATCH($C113,'I2018'!$A$5:$A$107,0)),"")</f>
        <v/>
      </c>
      <c r="AS113" s="102" t="str">
        <f>IFERROR(INDEX('I2018'!G$5:G$107,MATCH($C113,'I2018'!$A$5:$A$107,0)),"")</f>
        <v/>
      </c>
      <c r="AT113" s="102" t="str">
        <f>IFERROR(INDEX('I2018'!H$5:H$107,MATCH($C113,'I2018'!$A$5:$A$107,0)),"")</f>
        <v/>
      </c>
      <c r="AU113" s="102" t="str">
        <f>IFERROR(INDEX('I2018'!I$5:I$107,MATCH($C113,'I2018'!$A$5:$A$107,0)),"")</f>
        <v/>
      </c>
      <c r="AV113" s="102" t="str">
        <f>IFERROR(INDEX('I2018'!J$5:J$107,MATCH($C113,'I2018'!$A$5:$A$107,0)),"")</f>
        <v/>
      </c>
      <c r="AW113" s="102" t="str">
        <f>IFERROR(INDEX('I2018'!K$5:K$107,MATCH($C113,'I2018'!$A$5:$A$107,0)),"")</f>
        <v/>
      </c>
      <c r="AX113" s="102" t="str">
        <f>IFERROR(INDEX('I2018'!L$5:L$107,MATCH($C113,'I2018'!$A$5:$A$107,0)),"")</f>
        <v/>
      </c>
      <c r="AY113" s="102" t="str">
        <f>IFERROR(INDEX('I2018'!M$5:M$107,MATCH($C113,'I2018'!$A$5:$A$107,0)),"")</f>
        <v/>
      </c>
      <c r="AZ113" s="102">
        <f>IFERROR(INDEX('I2019'!B$5:B$112,MATCH($C113,'I2019'!$A$5:$A$112,0)),"")</f>
        <v>0</v>
      </c>
      <c r="BA113" s="102">
        <f>IFERROR(INDEX('I2019'!C$5:C$112,MATCH($C113,'I2019'!$A$5:$A$112,0)),"")</f>
        <v>0</v>
      </c>
      <c r="BB113" s="102">
        <f>IFERROR(INDEX('I2019'!D$5:D$112,MATCH($C113,'I2019'!$A$5:$A$112,0)),"")</f>
        <v>0</v>
      </c>
      <c r="BC113" s="102">
        <f>IFERROR(INDEX('I2019'!E$5:E$112,MATCH($C113,'I2019'!$A$5:$A$112,0)),"")</f>
        <v>0</v>
      </c>
      <c r="BD113" s="102">
        <f>IFERROR(INDEX('I2019'!F$5:F$112,MATCH($C113,'I2019'!$A$5:$A$112,0)),"")</f>
        <v>0</v>
      </c>
      <c r="BE113" s="102">
        <f>IFERROR(INDEX('I2019'!G$5:G$112,MATCH($C113,'I2019'!$A$5:$A$112,0)),"")</f>
        <v>0</v>
      </c>
      <c r="BF113" s="102">
        <f>IFERROR(INDEX('I2019'!H$5:H$112,MATCH($C113,'I2019'!$A$5:$A$112,0)),"")</f>
        <v>0</v>
      </c>
      <c r="BG113" s="102">
        <f>IFERROR(INDEX('I2019'!I$5:I$112,MATCH($C113,'I2019'!$A$5:$A$112,0)),"")</f>
        <v>0</v>
      </c>
      <c r="BH113" s="102">
        <f>IFERROR(INDEX('I2019'!J$5:J$112,MATCH($C113,'I2019'!$A$5:$A$112,0)),"")</f>
        <v>59.56</v>
      </c>
      <c r="BI113" s="102">
        <f>IFERROR(INDEX('I2019'!K$5:K$112,MATCH($C113,'I2019'!$A$5:$A$112,0)),"")</f>
        <v>0</v>
      </c>
      <c r="BJ113" s="102">
        <f>IFERROR(INDEX('I2019'!L$5:L$112,MATCH($C113,'I2019'!$A$5:$A$112,0)),"")</f>
        <v>0</v>
      </c>
      <c r="BK113" s="102">
        <f>IFERROR(INDEX('I2019'!M$5:M$112,MATCH($C113,'I2019'!$A$5:$A$112,0)),"")</f>
        <v>0</v>
      </c>
      <c r="BL113" s="102">
        <f>IFERROR(INDEX('I2020'!B$5:B$113,MATCH($C113,'I2020'!$A$5:$A$113,0)),"")</f>
        <v>9</v>
      </c>
      <c r="BM113" s="102">
        <f>IFERROR(INDEX('I2020'!C$5:C$113,MATCH($C113,'I2020'!$A$5:$A$113,0)),"")</f>
        <v>9</v>
      </c>
      <c r="BN113" s="102">
        <f>IFERROR(INDEX('I2020'!D$5:D$113,MATCH($C113,'I2020'!$A$5:$A$113,0)),"")</f>
        <v>9</v>
      </c>
      <c r="BO113" s="102">
        <f>IFERROR(INDEX('I2020'!E$5:E$113,MATCH($C113,'I2020'!$A$5:$A$113,0)),"")</f>
        <v>0</v>
      </c>
      <c r="BP113" s="102">
        <f>IFERROR(INDEX('I2020'!F$5:F$113,MATCH($C113,'I2020'!$A$5:$A$113,0)),"")</f>
        <v>0</v>
      </c>
      <c r="BQ113" s="392">
        <f>IFERROR(INDEX('I2020'!G$5:G$113,MATCH($C113,'I2020'!$A$5:$A$113,0)),"")</f>
        <v>0</v>
      </c>
      <c r="BR113" s="64"/>
      <c r="BS113" s="64"/>
      <c r="BT113" s="64"/>
      <c r="BU113" s="64"/>
      <c r="BV113" s="64"/>
      <c r="BW113" s="64"/>
      <c r="BX113" s="64"/>
      <c r="BY113" s="64"/>
      <c r="BZ113" s="64"/>
      <c r="CA113" s="64"/>
      <c r="CB113" s="64"/>
      <c r="CC113" s="64"/>
      <c r="CD113" s="64"/>
      <c r="CE113" s="64"/>
      <c r="CF113" s="64"/>
      <c r="CG113" s="64"/>
      <c r="CH113" s="64"/>
      <c r="CI113" s="124"/>
      <c r="CJ113" s="134"/>
    </row>
    <row r="114" spans="1:88" x14ac:dyDescent="0.3">
      <c r="A114" s="33"/>
      <c r="B114" s="68"/>
      <c r="C114" s="21" t="s">
        <v>187</v>
      </c>
      <c r="D114" s="102">
        <f>IFERROR(INDEX('I2015'!B$5:B$73,MATCH($C114,'I2015'!$A$5:$A$73,0)),"")</f>
        <v>0</v>
      </c>
      <c r="E114" s="102">
        <f>IFERROR(INDEX('I2015'!C$5:C$73,MATCH($C114,'I2015'!$A$5:$A$73,0)),"")</f>
        <v>0</v>
      </c>
      <c r="F114" s="102">
        <f>IFERROR(INDEX('I2015'!D$5:D$73,MATCH($C114,'I2015'!$A$5:$A$73,0)),"")</f>
        <v>0</v>
      </c>
      <c r="G114" s="102">
        <f>IFERROR(INDEX('I2015'!E$5:E$73,MATCH($C114,'I2015'!$A$5:$A$73,0)),"")</f>
        <v>0</v>
      </c>
      <c r="H114" s="102">
        <f>IFERROR(INDEX('I2015'!F$5:F$73,MATCH($C114,'I2015'!$A$5:$A$73,0)),"")</f>
        <v>0</v>
      </c>
      <c r="I114" s="102">
        <f>IFERROR(INDEX('I2015'!G$5:G$73,MATCH($C114,'I2015'!$A$5:$A$73,0)),"")</f>
        <v>0</v>
      </c>
      <c r="J114" s="102">
        <f>IFERROR(INDEX('I2015'!H$5:H$73,MATCH($C114,'I2015'!$A$5:$A$73,0)),"")</f>
        <v>0</v>
      </c>
      <c r="K114" s="102">
        <f>IFERROR(INDEX('I2015'!I$5:I$73,MATCH($C114,'I2015'!$A$5:$A$73,0)),"")</f>
        <v>0</v>
      </c>
      <c r="L114" s="102">
        <f>IFERROR(INDEX('I2015'!J$5:J$73,MATCH($C114,'I2015'!$A$5:$A$73,0)),"")</f>
        <v>0</v>
      </c>
      <c r="M114" s="102">
        <f>IFERROR(INDEX('I2015'!K$5:K$73,MATCH($C114,'I2015'!$A$5:$A$73,0)),"")</f>
        <v>0</v>
      </c>
      <c r="N114" s="102">
        <f>IFERROR(INDEX('I2015'!L$5:L$73,MATCH($C114,'I2015'!$A$5:$A$73,0)),"")</f>
        <v>0</v>
      </c>
      <c r="O114" s="102">
        <f>IFERROR(INDEX('I2015'!M$5:M$73,MATCH($C114,'I2015'!$A$5:$A$73,0)),"")</f>
        <v>0</v>
      </c>
      <c r="P114" s="102" t="str">
        <f>IFERROR(INDEX('I2016'!B$5:B$90,MATCH($C114,'I2016'!$A$5:$A$90,0)),"")</f>
        <v/>
      </c>
      <c r="Q114" s="102" t="str">
        <f>IFERROR(INDEX('I2016'!C$5:C$90,MATCH($C114,'I2016'!$A$5:$A$90,0)),"")</f>
        <v/>
      </c>
      <c r="R114" s="102" t="str">
        <f>IFERROR(INDEX('I2016'!D$5:D$90,MATCH($C114,'I2016'!$A$5:$A$90,0)),"")</f>
        <v/>
      </c>
      <c r="S114" s="102" t="str">
        <f>IFERROR(INDEX('I2016'!E$5:E$90,MATCH($C114,'I2016'!$A$5:$A$90,0)),"")</f>
        <v/>
      </c>
      <c r="T114" s="102" t="str">
        <f>IFERROR(INDEX('I2016'!F$5:F$90,MATCH($C114,'I2016'!$A$5:$A$90,0)),"")</f>
        <v/>
      </c>
      <c r="U114" s="102" t="str">
        <f>IFERROR(INDEX('I2016'!G$5:G$90,MATCH($C114,'I2016'!$A$5:$A$90,0)),"")</f>
        <v/>
      </c>
      <c r="V114" s="102" t="str">
        <f>IFERROR(INDEX('I2016'!H$5:H$90,MATCH($C114,'I2016'!$A$5:$A$90,0)),"")</f>
        <v/>
      </c>
      <c r="W114" s="102" t="str">
        <f>IFERROR(INDEX('I2016'!I$5:I$90,MATCH($C114,'I2016'!$A$5:$A$90,0)),"")</f>
        <v/>
      </c>
      <c r="X114" s="102" t="str">
        <f>IFERROR(INDEX('I2016'!J$5:J$90,MATCH($C114,'I2016'!$A$5:$A$90,0)),"")</f>
        <v/>
      </c>
      <c r="Y114" s="102" t="str">
        <f>IFERROR(INDEX('I2016'!K$5:K$90,MATCH($C114,'I2016'!$A$5:$A$90,0)),"")</f>
        <v/>
      </c>
      <c r="Z114" s="102" t="str">
        <f>IFERROR(INDEX('I2016'!L$5:L$90,MATCH($C114,'I2016'!$A$5:$A$90,0)),"")</f>
        <v/>
      </c>
      <c r="AA114" s="102" t="str">
        <f>IFERROR(INDEX('I2016'!M$5:M$90,MATCH($C114,'I2016'!$A$5:$A$90,0)),"")</f>
        <v/>
      </c>
      <c r="AB114" s="102" t="str">
        <f>IFERROR(INDEX('I2017'!B$5:B$96,MATCH($C114,'I2017'!$A$5:$A$96,0)),"")</f>
        <v/>
      </c>
      <c r="AC114" s="102" t="str">
        <f>IFERROR(INDEX('I2017'!C$5:C$96,MATCH($C114,'I2017'!$A$5:$A$96,0)),"")</f>
        <v/>
      </c>
      <c r="AD114" s="102" t="str">
        <f>IFERROR(INDEX('I2017'!D$5:D$96,MATCH($C114,'I2017'!$A$5:$A$96,0)),"")</f>
        <v/>
      </c>
      <c r="AE114" s="102" t="str">
        <f>IFERROR(INDEX('I2017'!E$5:E$96,MATCH($C114,'I2017'!$A$5:$A$96,0)),"")</f>
        <v/>
      </c>
      <c r="AF114" s="102" t="str">
        <f>IFERROR(INDEX('I2017'!F$5:F$96,MATCH($C114,'I2017'!$A$5:$A$96,0)),"")</f>
        <v/>
      </c>
      <c r="AG114" s="102" t="str">
        <f>IFERROR(INDEX('I2017'!G$5:G$96,MATCH($C114,'I2017'!$A$5:$A$96,0)),"")</f>
        <v/>
      </c>
      <c r="AH114" s="102" t="str">
        <f>IFERROR(INDEX('I2017'!H$5:H$96,MATCH($C114,'I2017'!$A$5:$A$96,0)),"")</f>
        <v/>
      </c>
      <c r="AI114" s="102" t="str">
        <f>IFERROR(INDEX('I2017'!I$5:I$96,MATCH($C114,'I2017'!$A$5:$A$96,0)),"")</f>
        <v/>
      </c>
      <c r="AJ114" s="102" t="str">
        <f>IFERROR(INDEX('I2017'!J$5:J$96,MATCH($C114,'I2017'!$A$5:$A$96,0)),"")</f>
        <v/>
      </c>
      <c r="AK114" s="102" t="str">
        <f>IFERROR(INDEX('I2017'!K$5:K$96,MATCH($C114,'I2017'!$A$5:$A$96,0)),"")</f>
        <v/>
      </c>
      <c r="AL114" s="102" t="str">
        <f>IFERROR(INDEX('I2017'!L$5:L$96,MATCH($C114,'I2017'!$A$5:$A$96,0)),"")</f>
        <v/>
      </c>
      <c r="AM114" s="102" t="str">
        <f>IFERROR(INDEX('I2017'!M$5:M$96,MATCH($C114,'I2017'!$A$5:$A$96,0)),"")</f>
        <v/>
      </c>
      <c r="AN114" s="102" t="str">
        <f>IFERROR(INDEX('I2018'!B$5:B$107,MATCH($C114,'I2018'!$A$5:$A$107,0)),"")</f>
        <v/>
      </c>
      <c r="AO114" s="102" t="str">
        <f>IFERROR(INDEX('I2018'!C$5:C$107,MATCH($C114,'I2018'!$A$5:$A$107,0)),"")</f>
        <v/>
      </c>
      <c r="AP114" s="102" t="str">
        <f>IFERROR(INDEX('I2018'!D$5:D$107,MATCH($C114,'I2018'!$A$5:$A$107,0)),"")</f>
        <v/>
      </c>
      <c r="AQ114" s="102" t="str">
        <f>IFERROR(INDEX('I2018'!E$5:E$107,MATCH($C114,'I2018'!$A$5:$A$107,0)),"")</f>
        <v/>
      </c>
      <c r="AR114" s="102" t="str">
        <f>IFERROR(INDEX('I2018'!F$5:F$107,MATCH($C114,'I2018'!$A$5:$A$107,0)),"")</f>
        <v/>
      </c>
      <c r="AS114" s="102" t="str">
        <f>IFERROR(INDEX('I2018'!G$5:G$107,MATCH($C114,'I2018'!$A$5:$A$107,0)),"")</f>
        <v/>
      </c>
      <c r="AT114" s="102" t="str">
        <f>IFERROR(INDEX('I2018'!H$5:H$107,MATCH($C114,'I2018'!$A$5:$A$107,0)),"")</f>
        <v/>
      </c>
      <c r="AU114" s="102" t="str">
        <f>IFERROR(INDEX('I2018'!I$5:I$107,MATCH($C114,'I2018'!$A$5:$A$107,0)),"")</f>
        <v/>
      </c>
      <c r="AV114" s="102" t="str">
        <f>IFERROR(INDEX('I2018'!J$5:J$107,MATCH($C114,'I2018'!$A$5:$A$107,0)),"")</f>
        <v/>
      </c>
      <c r="AW114" s="102" t="str">
        <f>IFERROR(INDEX('I2018'!K$5:K$107,MATCH($C114,'I2018'!$A$5:$A$107,0)),"")</f>
        <v/>
      </c>
      <c r="AX114" s="102" t="str">
        <f>IFERROR(INDEX('I2018'!L$5:L$107,MATCH($C114,'I2018'!$A$5:$A$107,0)),"")</f>
        <v/>
      </c>
      <c r="AY114" s="102" t="str">
        <f>IFERROR(INDEX('I2018'!M$5:M$107,MATCH($C114,'I2018'!$A$5:$A$107,0)),"")</f>
        <v/>
      </c>
      <c r="AZ114" s="102" t="str">
        <f>IFERROR(INDEX('I2019'!B$5:B$112,MATCH($C114,'I2019'!$A$5:$A$112,0)),"")</f>
        <v/>
      </c>
      <c r="BA114" s="102" t="str">
        <f>IFERROR(INDEX('I2019'!C$5:C$112,MATCH($C114,'I2019'!$A$5:$A$112,0)),"")</f>
        <v/>
      </c>
      <c r="BB114" s="102" t="str">
        <f>IFERROR(INDEX('I2019'!D$5:D$112,MATCH($C114,'I2019'!$A$5:$A$112,0)),"")</f>
        <v/>
      </c>
      <c r="BC114" s="102" t="str">
        <f>IFERROR(INDEX('I2019'!E$5:E$112,MATCH($C114,'I2019'!$A$5:$A$112,0)),"")</f>
        <v/>
      </c>
      <c r="BD114" s="102" t="str">
        <f>IFERROR(INDEX('I2019'!F$5:F$112,MATCH($C114,'I2019'!$A$5:$A$112,0)),"")</f>
        <v/>
      </c>
      <c r="BE114" s="102" t="str">
        <f>IFERROR(INDEX('I2019'!G$5:G$112,MATCH($C114,'I2019'!$A$5:$A$112,0)),"")</f>
        <v/>
      </c>
      <c r="BF114" s="102" t="str">
        <f>IFERROR(INDEX('I2019'!H$5:H$112,MATCH($C114,'I2019'!$A$5:$A$112,0)),"")</f>
        <v/>
      </c>
      <c r="BG114" s="102" t="str">
        <f>IFERROR(INDEX('I2019'!I$5:I$112,MATCH($C114,'I2019'!$A$5:$A$112,0)),"")</f>
        <v/>
      </c>
      <c r="BH114" s="102" t="str">
        <f>IFERROR(INDEX('I2019'!J$5:J$112,MATCH($C114,'I2019'!$A$5:$A$112,0)),"")</f>
        <v/>
      </c>
      <c r="BI114" s="102" t="str">
        <f>IFERROR(INDEX('I2019'!K$5:K$112,MATCH($C114,'I2019'!$A$5:$A$112,0)),"")</f>
        <v/>
      </c>
      <c r="BJ114" s="102" t="str">
        <f>IFERROR(INDEX('I2019'!L$5:L$112,MATCH($C114,'I2019'!$A$5:$A$112,0)),"")</f>
        <v/>
      </c>
      <c r="BK114" s="102" t="str">
        <f>IFERROR(INDEX('I2019'!M$5:M$112,MATCH($C114,'I2019'!$A$5:$A$112,0)),"")</f>
        <v/>
      </c>
      <c r="BL114" s="102" t="str">
        <f>IFERROR(INDEX('I2020'!B$5:B$113,MATCH($C114,'I2020'!$A$5:$A$113,0)),"")</f>
        <v/>
      </c>
      <c r="BM114" s="102" t="str">
        <f>IFERROR(INDEX('I2020'!C$5:C$113,MATCH($C114,'I2020'!$A$5:$A$113,0)),"")</f>
        <v/>
      </c>
      <c r="BN114" s="102" t="str">
        <f>IFERROR(INDEX('I2020'!D$5:D$113,MATCH($C114,'I2020'!$A$5:$A$113,0)),"")</f>
        <v/>
      </c>
      <c r="BO114" s="102" t="str">
        <f>IFERROR(INDEX('I2020'!E$5:E$113,MATCH($C114,'I2020'!$A$5:$A$113,0)),"")</f>
        <v/>
      </c>
      <c r="BP114" s="102" t="str">
        <f>IFERROR(INDEX('I2020'!F$5:F$113,MATCH($C114,'I2020'!$A$5:$A$113,0)),"")</f>
        <v/>
      </c>
      <c r="BQ114" s="392" t="str">
        <f>IFERROR(INDEX('I2020'!G$5:G$113,MATCH($C114,'I2020'!$A$5:$A$113,0)),"")</f>
        <v/>
      </c>
      <c r="BR114" s="64"/>
      <c r="BS114" s="64"/>
      <c r="BT114" s="64"/>
      <c r="BU114" s="64"/>
      <c r="BV114" s="64"/>
      <c r="BW114" s="64"/>
      <c r="BX114" s="64"/>
      <c r="BY114" s="64"/>
      <c r="BZ114" s="64"/>
      <c r="CA114" s="64"/>
      <c r="CB114" s="64"/>
      <c r="CC114" s="64"/>
      <c r="CD114" s="64"/>
      <c r="CE114" s="64"/>
      <c r="CF114" s="64"/>
      <c r="CG114" s="64"/>
      <c r="CH114" s="64"/>
      <c r="CI114" s="124"/>
      <c r="CJ114" s="134"/>
    </row>
    <row r="115" spans="1:88" x14ac:dyDescent="0.3">
      <c r="A115" s="33"/>
      <c r="B115" s="68"/>
      <c r="C115" s="21" t="s">
        <v>188</v>
      </c>
      <c r="D115" s="22">
        <f>IFERROR(INDEX('I2015'!B$5:B$73,MATCH($C115,'I2015'!$A$5:$A$73,0)),"")</f>
        <v>0</v>
      </c>
      <c r="E115" s="22">
        <f>IFERROR(INDEX('I2015'!C$5:C$73,MATCH($C115,'I2015'!$A$5:$A$73,0)),"")</f>
        <v>0</v>
      </c>
      <c r="F115" s="22">
        <f>IFERROR(INDEX('I2015'!D$5:D$73,MATCH($C115,'I2015'!$A$5:$A$73,0)),"")</f>
        <v>0</v>
      </c>
      <c r="G115" s="22">
        <f>IFERROR(INDEX('I2015'!E$5:E$73,MATCH($C115,'I2015'!$A$5:$A$73,0)),"")</f>
        <v>0</v>
      </c>
      <c r="H115" s="22">
        <f>IFERROR(INDEX('I2015'!F$5:F$73,MATCH($C115,'I2015'!$A$5:$A$73,0)),"")</f>
        <v>0</v>
      </c>
      <c r="I115" s="22">
        <f>IFERROR(INDEX('I2015'!G$5:G$73,MATCH($C115,'I2015'!$A$5:$A$73,0)),"")</f>
        <v>0</v>
      </c>
      <c r="J115" s="22">
        <f>IFERROR(INDEX('I2015'!H$5:H$73,MATCH($C115,'I2015'!$A$5:$A$73,0)),"")</f>
        <v>0</v>
      </c>
      <c r="K115" s="22">
        <f>IFERROR(INDEX('I2015'!I$5:I$73,MATCH($C115,'I2015'!$A$5:$A$73,0)),"")</f>
        <v>0</v>
      </c>
      <c r="L115" s="22">
        <f>IFERROR(INDEX('I2015'!J$5:J$73,MATCH($C115,'I2015'!$A$5:$A$73,0)),"")</f>
        <v>290.35000000000002</v>
      </c>
      <c r="M115" s="22">
        <f>IFERROR(INDEX('I2015'!K$5:K$73,MATCH($C115,'I2015'!$A$5:$A$73,0)),"")</f>
        <v>197.93</v>
      </c>
      <c r="N115" s="22">
        <f>IFERROR(INDEX('I2015'!L$5:L$73,MATCH($C115,'I2015'!$A$5:$A$73,0)),"")</f>
        <v>0</v>
      </c>
      <c r="O115" s="22">
        <f>IFERROR(INDEX('I2015'!M$5:M$73,MATCH($C115,'I2015'!$A$5:$A$73,0)),"")</f>
        <v>0</v>
      </c>
      <c r="P115" s="22" t="str">
        <f>IFERROR(INDEX('I2016'!B$5:B$90,MATCH($C115,'I2016'!$A$5:$A$90,0)),"")</f>
        <v/>
      </c>
      <c r="Q115" s="22" t="str">
        <f>IFERROR(INDEX('I2016'!C$5:C$90,MATCH($C115,'I2016'!$A$5:$A$90,0)),"")</f>
        <v/>
      </c>
      <c r="R115" s="22" t="str">
        <f>IFERROR(INDEX('I2016'!D$5:D$90,MATCH($C115,'I2016'!$A$5:$A$90,0)),"")</f>
        <v/>
      </c>
      <c r="S115" s="22" t="str">
        <f>IFERROR(INDEX('I2016'!E$5:E$90,MATCH($C115,'I2016'!$A$5:$A$90,0)),"")</f>
        <v/>
      </c>
      <c r="T115" s="22" t="str">
        <f>IFERROR(INDEX('I2016'!F$5:F$90,MATCH($C115,'I2016'!$A$5:$A$90,0)),"")</f>
        <v/>
      </c>
      <c r="U115" s="22" t="str">
        <f>IFERROR(INDEX('I2016'!G$5:G$90,MATCH($C115,'I2016'!$A$5:$A$90,0)),"")</f>
        <v/>
      </c>
      <c r="V115" s="22" t="str">
        <f>IFERROR(INDEX('I2016'!H$5:H$90,MATCH($C115,'I2016'!$A$5:$A$90,0)),"")</f>
        <v/>
      </c>
      <c r="W115" s="22" t="str">
        <f>IFERROR(INDEX('I2016'!I$5:I$90,MATCH($C115,'I2016'!$A$5:$A$90,0)),"")</f>
        <v/>
      </c>
      <c r="X115" s="22" t="str">
        <f>IFERROR(INDEX('I2016'!J$5:J$90,MATCH($C115,'I2016'!$A$5:$A$90,0)),"")</f>
        <v/>
      </c>
      <c r="Y115" s="22" t="str">
        <f>IFERROR(INDEX('I2016'!K$5:K$90,MATCH($C115,'I2016'!$A$5:$A$90,0)),"")</f>
        <v/>
      </c>
      <c r="Z115" s="22" t="str">
        <f>IFERROR(INDEX('I2016'!L$5:L$90,MATCH($C115,'I2016'!$A$5:$A$90,0)),"")</f>
        <v/>
      </c>
      <c r="AA115" s="22" t="str">
        <f>IFERROR(INDEX('I2016'!M$5:M$90,MATCH($C115,'I2016'!$A$5:$A$90,0)),"")</f>
        <v/>
      </c>
      <c r="AB115" s="22" t="str">
        <f>IFERROR(INDEX('I2017'!B$5:B$96,MATCH($C115,'I2017'!$A$5:$A$96,0)),"")</f>
        <v/>
      </c>
      <c r="AC115" s="22" t="str">
        <f>IFERROR(INDEX('I2017'!C$5:C$96,MATCH($C115,'I2017'!$A$5:$A$96,0)),"")</f>
        <v/>
      </c>
      <c r="AD115" s="22" t="str">
        <f>IFERROR(INDEX('I2017'!D$5:D$96,MATCH($C115,'I2017'!$A$5:$A$96,0)),"")</f>
        <v/>
      </c>
      <c r="AE115" s="22" t="str">
        <f>IFERROR(INDEX('I2017'!E$5:E$96,MATCH($C115,'I2017'!$A$5:$A$96,0)),"")</f>
        <v/>
      </c>
      <c r="AF115" s="22" t="str">
        <f>IFERROR(INDEX('I2017'!F$5:F$96,MATCH($C115,'I2017'!$A$5:$A$96,0)),"")</f>
        <v/>
      </c>
      <c r="AG115" s="22" t="str">
        <f>IFERROR(INDEX('I2017'!G$5:G$96,MATCH($C115,'I2017'!$A$5:$A$96,0)),"")</f>
        <v/>
      </c>
      <c r="AH115" s="22" t="str">
        <f>IFERROR(INDEX('I2017'!H$5:H$96,MATCH($C115,'I2017'!$A$5:$A$96,0)),"")</f>
        <v/>
      </c>
      <c r="AI115" s="22" t="str">
        <f>IFERROR(INDEX('I2017'!I$5:I$96,MATCH($C115,'I2017'!$A$5:$A$96,0)),"")</f>
        <v/>
      </c>
      <c r="AJ115" s="22" t="str">
        <f>IFERROR(INDEX('I2017'!J$5:J$96,MATCH($C115,'I2017'!$A$5:$A$96,0)),"")</f>
        <v/>
      </c>
      <c r="AK115" s="22" t="str">
        <f>IFERROR(INDEX('I2017'!K$5:K$96,MATCH($C115,'I2017'!$A$5:$A$96,0)),"")</f>
        <v/>
      </c>
      <c r="AL115" s="22" t="str">
        <f>IFERROR(INDEX('I2017'!L$5:L$96,MATCH($C115,'I2017'!$A$5:$A$96,0)),"")</f>
        <v/>
      </c>
      <c r="AM115" s="22" t="str">
        <f>IFERROR(INDEX('I2017'!M$5:M$96,MATCH($C115,'I2017'!$A$5:$A$96,0)),"")</f>
        <v/>
      </c>
      <c r="AN115" s="22" t="str">
        <f>IFERROR(INDEX('I2018'!B$5:B$107,MATCH($C115,'I2018'!$A$5:$A$107,0)),"")</f>
        <v/>
      </c>
      <c r="AO115" s="22" t="str">
        <f>IFERROR(INDEX('I2018'!C$5:C$107,MATCH($C115,'I2018'!$A$5:$A$107,0)),"")</f>
        <v/>
      </c>
      <c r="AP115" s="22" t="str">
        <f>IFERROR(INDEX('I2018'!D$5:D$107,MATCH($C115,'I2018'!$A$5:$A$107,0)),"")</f>
        <v/>
      </c>
      <c r="AQ115" s="22" t="str">
        <f>IFERROR(INDEX('I2018'!E$5:E$107,MATCH($C115,'I2018'!$A$5:$A$107,0)),"")</f>
        <v/>
      </c>
      <c r="AR115" s="22" t="str">
        <f>IFERROR(INDEX('I2018'!F$5:F$107,MATCH($C115,'I2018'!$A$5:$A$107,0)),"")</f>
        <v/>
      </c>
      <c r="AS115" s="22" t="str">
        <f>IFERROR(INDEX('I2018'!G$5:G$107,MATCH($C115,'I2018'!$A$5:$A$107,0)),"")</f>
        <v/>
      </c>
      <c r="AT115" s="22" t="str">
        <f>IFERROR(INDEX('I2018'!H$5:H$107,MATCH($C115,'I2018'!$A$5:$A$107,0)),"")</f>
        <v/>
      </c>
      <c r="AU115" s="22" t="str">
        <f>IFERROR(INDEX('I2018'!I$5:I$107,MATCH($C115,'I2018'!$A$5:$A$107,0)),"")</f>
        <v/>
      </c>
      <c r="AV115" s="22" t="str">
        <f>IFERROR(INDEX('I2018'!J$5:J$107,MATCH($C115,'I2018'!$A$5:$A$107,0)),"")</f>
        <v/>
      </c>
      <c r="AW115" s="22" t="str">
        <f>IFERROR(INDEX('I2018'!K$5:K$107,MATCH($C115,'I2018'!$A$5:$A$107,0)),"")</f>
        <v/>
      </c>
      <c r="AX115" s="22" t="str">
        <f>IFERROR(INDEX('I2018'!L$5:L$107,MATCH($C115,'I2018'!$A$5:$A$107,0)),"")</f>
        <v/>
      </c>
      <c r="AY115" s="22" t="str">
        <f>IFERROR(INDEX('I2018'!M$5:M$107,MATCH($C115,'I2018'!$A$5:$A$107,0)),"")</f>
        <v/>
      </c>
      <c r="AZ115" s="22" t="str">
        <f>IFERROR(INDEX('I2019'!B$5:B$112,MATCH($C115,'I2019'!$A$5:$A$112,0)),"")</f>
        <v/>
      </c>
      <c r="BA115" s="22" t="str">
        <f>IFERROR(INDEX('I2019'!C$5:C$112,MATCH($C115,'I2019'!$A$5:$A$112,0)),"")</f>
        <v/>
      </c>
      <c r="BB115" s="22" t="str">
        <f>IFERROR(INDEX('I2019'!D$5:D$112,MATCH($C115,'I2019'!$A$5:$A$112,0)),"")</f>
        <v/>
      </c>
      <c r="BC115" s="22" t="str">
        <f>IFERROR(INDEX('I2019'!E$5:E$112,MATCH($C115,'I2019'!$A$5:$A$112,0)),"")</f>
        <v/>
      </c>
      <c r="BD115" s="22" t="str">
        <f>IFERROR(INDEX('I2019'!F$5:F$112,MATCH($C115,'I2019'!$A$5:$A$112,0)),"")</f>
        <v/>
      </c>
      <c r="BE115" s="22" t="str">
        <f>IFERROR(INDEX('I2019'!G$5:G$112,MATCH($C115,'I2019'!$A$5:$A$112,0)),"")</f>
        <v/>
      </c>
      <c r="BF115" s="22" t="str">
        <f>IFERROR(INDEX('I2019'!H$5:H$112,MATCH($C115,'I2019'!$A$5:$A$112,0)),"")</f>
        <v/>
      </c>
      <c r="BG115" s="22" t="str">
        <f>IFERROR(INDEX('I2019'!I$5:I$112,MATCH($C115,'I2019'!$A$5:$A$112,0)),"")</f>
        <v/>
      </c>
      <c r="BH115" s="22" t="str">
        <f>IFERROR(INDEX('I2019'!J$5:J$112,MATCH($C115,'I2019'!$A$5:$A$112,0)),"")</f>
        <v/>
      </c>
      <c r="BI115" s="22" t="str">
        <f>IFERROR(INDEX('I2019'!K$5:K$112,MATCH($C115,'I2019'!$A$5:$A$112,0)),"")</f>
        <v/>
      </c>
      <c r="BJ115" s="22" t="str">
        <f>IFERROR(INDEX('I2019'!L$5:L$112,MATCH($C115,'I2019'!$A$5:$A$112,0)),"")</f>
        <v/>
      </c>
      <c r="BK115" s="22" t="str">
        <f>IFERROR(INDEX('I2019'!M$5:M$112,MATCH($C115,'I2019'!$A$5:$A$112,0)),"")</f>
        <v/>
      </c>
      <c r="BL115" s="22" t="str">
        <f>IFERROR(INDEX('I2020'!B$5:B$113,MATCH($C115,'I2020'!$A$5:$A$113,0)),"")</f>
        <v/>
      </c>
      <c r="BM115" s="22" t="str">
        <f>IFERROR(INDEX('I2020'!C$5:C$113,MATCH($C115,'I2020'!$A$5:$A$113,0)),"")</f>
        <v/>
      </c>
      <c r="BN115" s="22" t="str">
        <f>IFERROR(INDEX('I2020'!D$5:D$113,MATCH($C115,'I2020'!$A$5:$A$113,0)),"")</f>
        <v/>
      </c>
      <c r="BO115" s="22" t="str">
        <f>IFERROR(INDEX('I2020'!E$5:E$113,MATCH($C115,'I2020'!$A$5:$A$113,0)),"")</f>
        <v/>
      </c>
      <c r="BP115" s="22" t="str">
        <f>IFERROR(INDEX('I2020'!F$5:F$113,MATCH($C115,'I2020'!$A$5:$A$113,0)),"")</f>
        <v/>
      </c>
      <c r="BQ115" s="393" t="str">
        <f>IFERROR(INDEX('I2020'!G$5:G$113,MATCH($C115,'I2020'!$A$5:$A$113,0)),"")</f>
        <v/>
      </c>
      <c r="BR115" s="65"/>
      <c r="BS115" s="65"/>
      <c r="BT115" s="65"/>
      <c r="BU115" s="65"/>
      <c r="BV115" s="65"/>
      <c r="BW115" s="65"/>
      <c r="BX115" s="65"/>
      <c r="BY115" s="65"/>
      <c r="BZ115" s="65"/>
      <c r="CA115" s="65"/>
      <c r="CB115" s="65"/>
      <c r="CC115" s="65"/>
      <c r="CD115" s="65"/>
      <c r="CE115" s="65"/>
      <c r="CF115" s="65"/>
      <c r="CG115" s="65"/>
      <c r="CH115" s="65"/>
      <c r="CI115" s="125"/>
      <c r="CJ115" s="134"/>
    </row>
    <row r="116" spans="1:88" x14ac:dyDescent="0.3">
      <c r="A116" s="33"/>
      <c r="B116" s="166"/>
      <c r="C116" s="26" t="s">
        <v>189</v>
      </c>
      <c r="D116" s="78">
        <f>IFERROR(INDEX('I2015'!B$5:B$73,MATCH($C116,'I2015'!$A$5:$A$73,0)),"")</f>
        <v>0</v>
      </c>
      <c r="E116" s="78">
        <f>IFERROR(INDEX('I2015'!C$5:C$73,MATCH($C116,'I2015'!$A$5:$A$73,0)),"")</f>
        <v>0</v>
      </c>
      <c r="F116" s="78">
        <f>IFERROR(INDEX('I2015'!D$5:D$73,MATCH($C116,'I2015'!$A$5:$A$73,0)),"")</f>
        <v>0</v>
      </c>
      <c r="G116" s="78">
        <f>IFERROR(INDEX('I2015'!E$5:E$73,MATCH($C116,'I2015'!$A$5:$A$73,0)),"")</f>
        <v>0</v>
      </c>
      <c r="H116" s="78">
        <f>IFERROR(INDEX('I2015'!F$5:F$73,MATCH($C116,'I2015'!$A$5:$A$73,0)),"")</f>
        <v>0</v>
      </c>
      <c r="I116" s="78">
        <f>IFERROR(INDEX('I2015'!G$5:G$73,MATCH($C116,'I2015'!$A$5:$A$73,0)),"")</f>
        <v>0</v>
      </c>
      <c r="J116" s="78">
        <f>IFERROR(INDEX('I2015'!H$5:H$73,MATCH($C116,'I2015'!$A$5:$A$73,0)),"")</f>
        <v>0</v>
      </c>
      <c r="K116" s="78">
        <f>IFERROR(INDEX('I2015'!I$5:I$73,MATCH($C116,'I2015'!$A$5:$A$73,0)),"")</f>
        <v>0</v>
      </c>
      <c r="L116" s="78">
        <f>IFERROR(INDEX('I2015'!J$5:J$73,MATCH($C116,'I2015'!$A$5:$A$73,0)),"")</f>
        <v>290.35000000000002</v>
      </c>
      <c r="M116" s="78">
        <f>IFERROR(INDEX('I2015'!K$5:K$73,MATCH($C116,'I2015'!$A$5:$A$73,0)),"")</f>
        <v>197.93</v>
      </c>
      <c r="N116" s="78">
        <f>IFERROR(INDEX('I2015'!L$5:L$73,MATCH($C116,'I2015'!$A$5:$A$73,0)),"")</f>
        <v>0</v>
      </c>
      <c r="O116" s="78">
        <f>IFERROR(INDEX('I2015'!M$5:M$73,MATCH($C116,'I2015'!$A$5:$A$73,0)),"")</f>
        <v>0</v>
      </c>
      <c r="P116" s="78" t="str">
        <f>IFERROR(INDEX('I2016'!B$5:B$90,MATCH($C116,'I2016'!$A$5:$A$90,0)),"")</f>
        <v/>
      </c>
      <c r="Q116" s="78" t="str">
        <f>IFERROR(INDEX('I2016'!C$5:C$90,MATCH($C116,'I2016'!$A$5:$A$90,0)),"")</f>
        <v/>
      </c>
      <c r="R116" s="78" t="str">
        <f>IFERROR(INDEX('I2016'!D$5:D$90,MATCH($C116,'I2016'!$A$5:$A$90,0)),"")</f>
        <v/>
      </c>
      <c r="S116" s="78" t="str">
        <f>IFERROR(INDEX('I2016'!E$5:E$90,MATCH($C116,'I2016'!$A$5:$A$90,0)),"")</f>
        <v/>
      </c>
      <c r="T116" s="78" t="str">
        <f>IFERROR(INDEX('I2016'!F$5:F$90,MATCH($C116,'I2016'!$A$5:$A$90,0)),"")</f>
        <v/>
      </c>
      <c r="U116" s="78" t="str">
        <f>IFERROR(INDEX('I2016'!G$5:G$90,MATCH($C116,'I2016'!$A$5:$A$90,0)),"")</f>
        <v/>
      </c>
      <c r="V116" s="78" t="str">
        <f>IFERROR(INDEX('I2016'!H$5:H$90,MATCH($C116,'I2016'!$A$5:$A$90,0)),"")</f>
        <v/>
      </c>
      <c r="W116" s="78" t="str">
        <f>IFERROR(INDEX('I2016'!I$5:I$90,MATCH($C116,'I2016'!$A$5:$A$90,0)),"")</f>
        <v/>
      </c>
      <c r="X116" s="78" t="str">
        <f>IFERROR(INDEX('I2016'!J$5:J$90,MATCH($C116,'I2016'!$A$5:$A$90,0)),"")</f>
        <v/>
      </c>
      <c r="Y116" s="78" t="str">
        <f>IFERROR(INDEX('I2016'!K$5:K$90,MATCH($C116,'I2016'!$A$5:$A$90,0)),"")</f>
        <v/>
      </c>
      <c r="Z116" s="78" t="str">
        <f>IFERROR(INDEX('I2016'!L$5:L$90,MATCH($C116,'I2016'!$A$5:$A$90,0)),"")</f>
        <v/>
      </c>
      <c r="AA116" s="78" t="str">
        <f>IFERROR(INDEX('I2016'!M$5:M$90,MATCH($C116,'I2016'!$A$5:$A$90,0)),"")</f>
        <v/>
      </c>
      <c r="AB116" s="78" t="str">
        <f>IFERROR(INDEX('I2017'!B$5:B$96,MATCH($C116,'I2017'!$A$5:$A$96,0)),"")</f>
        <v/>
      </c>
      <c r="AC116" s="78" t="str">
        <f>IFERROR(INDEX('I2017'!C$5:C$96,MATCH($C116,'I2017'!$A$5:$A$96,0)),"")</f>
        <v/>
      </c>
      <c r="AD116" s="78" t="str">
        <f>IFERROR(INDEX('I2017'!D$5:D$96,MATCH($C116,'I2017'!$A$5:$A$96,0)),"")</f>
        <v/>
      </c>
      <c r="AE116" s="78" t="str">
        <f>IFERROR(INDEX('I2017'!E$5:E$96,MATCH($C116,'I2017'!$A$5:$A$96,0)),"")</f>
        <v/>
      </c>
      <c r="AF116" s="78" t="str">
        <f>IFERROR(INDEX('I2017'!F$5:F$96,MATCH($C116,'I2017'!$A$5:$A$96,0)),"")</f>
        <v/>
      </c>
      <c r="AG116" s="78" t="str">
        <f>IFERROR(INDEX('I2017'!G$5:G$96,MATCH($C116,'I2017'!$A$5:$A$96,0)),"")</f>
        <v/>
      </c>
      <c r="AH116" s="78" t="str">
        <f>IFERROR(INDEX('I2017'!H$5:H$96,MATCH($C116,'I2017'!$A$5:$A$96,0)),"")</f>
        <v/>
      </c>
      <c r="AI116" s="78" t="str">
        <f>IFERROR(INDEX('I2017'!I$5:I$96,MATCH($C116,'I2017'!$A$5:$A$96,0)),"")</f>
        <v/>
      </c>
      <c r="AJ116" s="78" t="str">
        <f>IFERROR(INDEX('I2017'!J$5:J$96,MATCH($C116,'I2017'!$A$5:$A$96,0)),"")</f>
        <v/>
      </c>
      <c r="AK116" s="78" t="str">
        <f>IFERROR(INDEX('I2017'!K$5:K$96,MATCH($C116,'I2017'!$A$5:$A$96,0)),"")</f>
        <v/>
      </c>
      <c r="AL116" s="78" t="str">
        <f>IFERROR(INDEX('I2017'!L$5:L$96,MATCH($C116,'I2017'!$A$5:$A$96,0)),"")</f>
        <v/>
      </c>
      <c r="AM116" s="78" t="str">
        <f>IFERROR(INDEX('I2017'!M$5:M$96,MATCH($C116,'I2017'!$A$5:$A$96,0)),"")</f>
        <v/>
      </c>
      <c r="AN116" s="78" t="str">
        <f>IFERROR(INDEX('I2018'!B$5:B$107,MATCH($C116,'I2018'!$A$5:$A$107,0)),"")</f>
        <v/>
      </c>
      <c r="AO116" s="78" t="str">
        <f>IFERROR(INDEX('I2018'!C$5:C$107,MATCH($C116,'I2018'!$A$5:$A$107,0)),"")</f>
        <v/>
      </c>
      <c r="AP116" s="78" t="str">
        <f>IFERROR(INDEX('I2018'!D$5:D$107,MATCH($C116,'I2018'!$A$5:$A$107,0)),"")</f>
        <v/>
      </c>
      <c r="AQ116" s="78" t="str">
        <f>IFERROR(INDEX('I2018'!E$5:E$107,MATCH($C116,'I2018'!$A$5:$A$107,0)),"")</f>
        <v/>
      </c>
      <c r="AR116" s="78" t="str">
        <f>IFERROR(INDEX('I2018'!F$5:F$107,MATCH($C116,'I2018'!$A$5:$A$107,0)),"")</f>
        <v/>
      </c>
      <c r="AS116" s="78" t="str">
        <f>IFERROR(INDEX('I2018'!G$5:G$107,MATCH($C116,'I2018'!$A$5:$A$107,0)),"")</f>
        <v/>
      </c>
      <c r="AT116" s="78" t="str">
        <f>IFERROR(INDEX('I2018'!H$5:H$107,MATCH($C116,'I2018'!$A$5:$A$107,0)),"")</f>
        <v/>
      </c>
      <c r="AU116" s="78" t="str">
        <f>IFERROR(INDEX('I2018'!I$5:I$107,MATCH($C116,'I2018'!$A$5:$A$107,0)),"")</f>
        <v/>
      </c>
      <c r="AV116" s="78" t="str">
        <f>IFERROR(INDEX('I2018'!J$5:J$107,MATCH($C116,'I2018'!$A$5:$A$107,0)),"")</f>
        <v/>
      </c>
      <c r="AW116" s="78" t="str">
        <f>IFERROR(INDEX('I2018'!K$5:K$107,MATCH($C116,'I2018'!$A$5:$A$107,0)),"")</f>
        <v/>
      </c>
      <c r="AX116" s="78" t="str">
        <f>IFERROR(INDEX('I2018'!L$5:L$107,MATCH($C116,'I2018'!$A$5:$A$107,0)),"")</f>
        <v/>
      </c>
      <c r="AY116" s="78" t="str">
        <f>IFERROR(INDEX('I2018'!M$5:M$107,MATCH($C116,'I2018'!$A$5:$A$107,0)),"")</f>
        <v/>
      </c>
      <c r="AZ116" s="78" t="str">
        <f>IFERROR(INDEX('I2019'!B$5:B$112,MATCH($C116,'I2019'!$A$5:$A$112,0)),"")</f>
        <v/>
      </c>
      <c r="BA116" s="78" t="str">
        <f>IFERROR(INDEX('I2019'!C$5:C$112,MATCH($C116,'I2019'!$A$5:$A$112,0)),"")</f>
        <v/>
      </c>
      <c r="BB116" s="78" t="str">
        <f>IFERROR(INDEX('I2019'!D$5:D$112,MATCH($C116,'I2019'!$A$5:$A$112,0)),"")</f>
        <v/>
      </c>
      <c r="BC116" s="78" t="str">
        <f>IFERROR(INDEX('I2019'!E$5:E$112,MATCH($C116,'I2019'!$A$5:$A$112,0)),"")</f>
        <v/>
      </c>
      <c r="BD116" s="78" t="str">
        <f>IFERROR(INDEX('I2019'!F$5:F$112,MATCH($C116,'I2019'!$A$5:$A$112,0)),"")</f>
        <v/>
      </c>
      <c r="BE116" s="78" t="str">
        <f>IFERROR(INDEX('I2019'!G$5:G$112,MATCH($C116,'I2019'!$A$5:$A$112,0)),"")</f>
        <v/>
      </c>
      <c r="BF116" s="78" t="str">
        <f>IFERROR(INDEX('I2019'!H$5:H$112,MATCH($C116,'I2019'!$A$5:$A$112,0)),"")</f>
        <v/>
      </c>
      <c r="BG116" s="78" t="str">
        <f>IFERROR(INDEX('I2019'!I$5:I$112,MATCH($C116,'I2019'!$A$5:$A$112,0)),"")</f>
        <v/>
      </c>
      <c r="BH116" s="78" t="str">
        <f>IFERROR(INDEX('I2019'!J$5:J$112,MATCH($C116,'I2019'!$A$5:$A$112,0)),"")</f>
        <v/>
      </c>
      <c r="BI116" s="78" t="str">
        <f>IFERROR(INDEX('I2019'!K$5:K$112,MATCH($C116,'I2019'!$A$5:$A$112,0)),"")</f>
        <v/>
      </c>
      <c r="BJ116" s="78" t="str">
        <f>IFERROR(INDEX('I2019'!L$5:L$112,MATCH($C116,'I2019'!$A$5:$A$112,0)),"")</f>
        <v/>
      </c>
      <c r="BK116" s="78" t="str">
        <f>IFERROR(INDEX('I2019'!M$5:M$112,MATCH($C116,'I2019'!$A$5:$A$112,0)),"")</f>
        <v/>
      </c>
      <c r="BL116" s="78" t="str">
        <f>IFERROR(INDEX('I2020'!B$5:B$113,MATCH($C116,'I2020'!$A$5:$A$113,0)),"")</f>
        <v/>
      </c>
      <c r="BM116" s="78" t="str">
        <f>IFERROR(INDEX('I2020'!C$5:C$113,MATCH($C116,'I2020'!$A$5:$A$113,0)),"")</f>
        <v/>
      </c>
      <c r="BN116" s="78" t="str">
        <f>IFERROR(INDEX('I2020'!D$5:D$113,MATCH($C116,'I2020'!$A$5:$A$113,0)),"")</f>
        <v/>
      </c>
      <c r="BO116" s="78" t="str">
        <f>IFERROR(INDEX('I2020'!E$5:E$113,MATCH($C116,'I2020'!$A$5:$A$113,0)),"")</f>
        <v/>
      </c>
      <c r="BP116" s="78" t="str">
        <f>IFERROR(INDEX('I2020'!F$5:F$113,MATCH($C116,'I2020'!$A$5:$A$113,0)),"")</f>
        <v/>
      </c>
      <c r="BQ116" s="398" t="str">
        <f>IFERROR(INDEX('I2020'!G$5:G$113,MATCH($C116,'I2020'!$A$5:$A$113,0)),"")</f>
        <v/>
      </c>
      <c r="BR116" s="153"/>
      <c r="BS116" s="153"/>
      <c r="BT116" s="153"/>
      <c r="BU116" s="153"/>
      <c r="BV116" s="153"/>
      <c r="BW116" s="153"/>
      <c r="BX116" s="153"/>
      <c r="BY116" s="153"/>
      <c r="BZ116" s="153"/>
      <c r="CA116" s="153"/>
      <c r="CB116" s="153"/>
      <c r="CC116" s="153"/>
      <c r="CD116" s="153"/>
      <c r="CE116" s="153"/>
      <c r="CF116" s="153"/>
      <c r="CG116" s="153"/>
      <c r="CH116" s="153"/>
      <c r="CI116" s="154"/>
      <c r="CJ116" s="289"/>
    </row>
    <row r="117" spans="1:88" x14ac:dyDescent="0.3">
      <c r="A117" s="33"/>
      <c r="B117" s="68"/>
      <c r="C117" s="82" t="s">
        <v>258</v>
      </c>
      <c r="D117" s="100" t="str">
        <f>IFERROR(INDEX('I2015'!B$5:B$73,MATCH($C117,'I2015'!$A$5:$A$73,0)),"")</f>
        <v/>
      </c>
      <c r="E117" s="100" t="str">
        <f>IFERROR(INDEX('I2015'!C$5:C$73,MATCH($C117,'I2015'!$A$5:$A$73,0)),"")</f>
        <v/>
      </c>
      <c r="F117" s="100" t="str">
        <f>IFERROR(INDEX('I2015'!D$5:D$73,MATCH($C117,'I2015'!$A$5:$A$73,0)),"")</f>
        <v/>
      </c>
      <c r="G117" s="100" t="str">
        <f>IFERROR(INDEX('I2015'!E$5:E$73,MATCH($C117,'I2015'!$A$5:$A$73,0)),"")</f>
        <v/>
      </c>
      <c r="H117" s="100" t="str">
        <f>IFERROR(INDEX('I2015'!F$5:F$73,MATCH($C117,'I2015'!$A$5:$A$73,0)),"")</f>
        <v/>
      </c>
      <c r="I117" s="100" t="str">
        <f>IFERROR(INDEX('I2015'!G$5:G$73,MATCH($C117,'I2015'!$A$5:$A$73,0)),"")</f>
        <v/>
      </c>
      <c r="J117" s="100" t="str">
        <f>IFERROR(INDEX('I2015'!H$5:H$73,MATCH($C117,'I2015'!$A$5:$A$73,0)),"")</f>
        <v/>
      </c>
      <c r="K117" s="100" t="str">
        <f>IFERROR(INDEX('I2015'!I$5:I$73,MATCH($C117,'I2015'!$A$5:$A$73,0)),"")</f>
        <v/>
      </c>
      <c r="L117" s="100" t="str">
        <f>IFERROR(INDEX('I2015'!J$5:J$73,MATCH($C117,'I2015'!$A$5:$A$73,0)),"")</f>
        <v/>
      </c>
      <c r="M117" s="100" t="str">
        <f>IFERROR(INDEX('I2015'!K$5:K$73,MATCH($C117,'I2015'!$A$5:$A$73,0)),"")</f>
        <v/>
      </c>
      <c r="N117" s="100" t="str">
        <f>IFERROR(INDEX('I2015'!L$5:L$73,MATCH($C117,'I2015'!$A$5:$A$73,0)),"")</f>
        <v/>
      </c>
      <c r="O117" s="100" t="str">
        <f>IFERROR(INDEX('I2015'!M$5:M$73,MATCH($C117,'I2015'!$A$5:$A$73,0)),"")</f>
        <v/>
      </c>
      <c r="P117" s="100" t="str">
        <f>IFERROR(INDEX('I2016'!B$5:B$90,MATCH($C117,'I2016'!$A$5:$A$90,0)),"")</f>
        <v/>
      </c>
      <c r="Q117" s="100" t="str">
        <f>IFERROR(INDEX('I2016'!C$5:C$90,MATCH($C117,'I2016'!$A$5:$A$90,0)),"")</f>
        <v/>
      </c>
      <c r="R117" s="100" t="str">
        <f>IFERROR(INDEX('I2016'!D$5:D$90,MATCH($C117,'I2016'!$A$5:$A$90,0)),"")</f>
        <v/>
      </c>
      <c r="S117" s="100" t="str">
        <f>IFERROR(INDEX('I2016'!E$5:E$90,MATCH($C117,'I2016'!$A$5:$A$90,0)),"")</f>
        <v/>
      </c>
      <c r="T117" s="100" t="str">
        <f>IFERROR(INDEX('I2016'!F$5:F$90,MATCH($C117,'I2016'!$A$5:$A$90,0)),"")</f>
        <v/>
      </c>
      <c r="U117" s="100" t="str">
        <f>IFERROR(INDEX('I2016'!G$5:G$90,MATCH($C117,'I2016'!$A$5:$A$90,0)),"")</f>
        <v/>
      </c>
      <c r="V117" s="100" t="str">
        <f>IFERROR(INDEX('I2016'!H$5:H$90,MATCH($C117,'I2016'!$A$5:$A$90,0)),"")</f>
        <v/>
      </c>
      <c r="W117" s="100" t="str">
        <f>IFERROR(INDEX('I2016'!I$5:I$90,MATCH($C117,'I2016'!$A$5:$A$90,0)),"")</f>
        <v/>
      </c>
      <c r="X117" s="100" t="str">
        <f>IFERROR(INDEX('I2016'!J$5:J$90,MATCH($C117,'I2016'!$A$5:$A$90,0)),"")</f>
        <v/>
      </c>
      <c r="Y117" s="100" t="str">
        <f>IFERROR(INDEX('I2016'!K$5:K$90,MATCH($C117,'I2016'!$A$5:$A$90,0)),"")</f>
        <v/>
      </c>
      <c r="Z117" s="100" t="str">
        <f>IFERROR(INDEX('I2016'!L$5:L$90,MATCH($C117,'I2016'!$A$5:$A$90,0)),"")</f>
        <v/>
      </c>
      <c r="AA117" s="100" t="str">
        <f>IFERROR(INDEX('I2016'!M$5:M$90,MATCH($C117,'I2016'!$A$5:$A$90,0)),"")</f>
        <v/>
      </c>
      <c r="AB117" s="100" t="str">
        <f>IFERROR(INDEX('I2017'!B$5:B$96,MATCH($C117,'I2017'!$A$5:$A$96,0)),"")</f>
        <v/>
      </c>
      <c r="AC117" s="100" t="str">
        <f>IFERROR(INDEX('I2017'!C$5:C$96,MATCH($C117,'I2017'!$A$5:$A$96,0)),"")</f>
        <v/>
      </c>
      <c r="AD117" s="100" t="str">
        <f>IFERROR(INDEX('I2017'!D$5:D$96,MATCH($C117,'I2017'!$A$5:$A$96,0)),"")</f>
        <v/>
      </c>
      <c r="AE117" s="100" t="str">
        <f>IFERROR(INDEX('I2017'!E$5:E$96,MATCH($C117,'I2017'!$A$5:$A$96,0)),"")</f>
        <v/>
      </c>
      <c r="AF117" s="100" t="str">
        <f>IFERROR(INDEX('I2017'!F$5:F$96,MATCH($C117,'I2017'!$A$5:$A$96,0)),"")</f>
        <v/>
      </c>
      <c r="AG117" s="100" t="str">
        <f>IFERROR(INDEX('I2017'!G$5:G$96,MATCH($C117,'I2017'!$A$5:$A$96,0)),"")</f>
        <v/>
      </c>
      <c r="AH117" s="100" t="str">
        <f>IFERROR(INDEX('I2017'!H$5:H$96,MATCH($C117,'I2017'!$A$5:$A$96,0)),"")</f>
        <v/>
      </c>
      <c r="AI117" s="100" t="str">
        <f>IFERROR(INDEX('I2017'!I$5:I$96,MATCH($C117,'I2017'!$A$5:$A$96,0)),"")</f>
        <v/>
      </c>
      <c r="AJ117" s="100" t="str">
        <f>IFERROR(INDEX('I2017'!J$5:J$96,MATCH($C117,'I2017'!$A$5:$A$96,0)),"")</f>
        <v/>
      </c>
      <c r="AK117" s="100" t="str">
        <f>IFERROR(INDEX('I2017'!K$5:K$96,MATCH($C117,'I2017'!$A$5:$A$96,0)),"")</f>
        <v/>
      </c>
      <c r="AL117" s="100" t="str">
        <f>IFERROR(INDEX('I2017'!L$5:L$96,MATCH($C117,'I2017'!$A$5:$A$96,0)),"")</f>
        <v/>
      </c>
      <c r="AM117" s="100" t="str">
        <f>IFERROR(INDEX('I2017'!M$5:M$96,MATCH($C117,'I2017'!$A$5:$A$96,0)),"")</f>
        <v/>
      </c>
      <c r="AN117" s="100" t="str">
        <f>IFERROR(INDEX('I2018'!B$5:B$107,MATCH($C117,'I2018'!$A$5:$A$107,0)),"")</f>
        <v/>
      </c>
      <c r="AO117" s="100" t="str">
        <f>IFERROR(INDEX('I2018'!C$5:C$107,MATCH($C117,'I2018'!$A$5:$A$107,0)),"")</f>
        <v/>
      </c>
      <c r="AP117" s="100" t="str">
        <f>IFERROR(INDEX('I2018'!D$5:D$107,MATCH($C117,'I2018'!$A$5:$A$107,0)),"")</f>
        <v/>
      </c>
      <c r="AQ117" s="100" t="str">
        <f>IFERROR(INDEX('I2018'!E$5:E$107,MATCH($C117,'I2018'!$A$5:$A$107,0)),"")</f>
        <v/>
      </c>
      <c r="AR117" s="100" t="str">
        <f>IFERROR(INDEX('I2018'!F$5:F$107,MATCH($C117,'I2018'!$A$5:$A$107,0)),"")</f>
        <v/>
      </c>
      <c r="AS117" s="100" t="str">
        <f>IFERROR(INDEX('I2018'!G$5:G$107,MATCH($C117,'I2018'!$A$5:$A$107,0)),"")</f>
        <v/>
      </c>
      <c r="AT117" s="100" t="str">
        <f>IFERROR(INDEX('I2018'!H$5:H$107,MATCH($C117,'I2018'!$A$5:$A$107,0)),"")</f>
        <v/>
      </c>
      <c r="AU117" s="100" t="str">
        <f>IFERROR(INDEX('I2018'!I$5:I$107,MATCH($C117,'I2018'!$A$5:$A$107,0)),"")</f>
        <v/>
      </c>
      <c r="AV117" s="100" t="str">
        <f>IFERROR(INDEX('I2018'!J$5:J$107,MATCH($C117,'I2018'!$A$5:$A$107,0)),"")</f>
        <v/>
      </c>
      <c r="AW117" s="100" t="str">
        <f>IFERROR(INDEX('I2018'!K$5:K$107,MATCH($C117,'I2018'!$A$5:$A$107,0)),"")</f>
        <v/>
      </c>
      <c r="AX117" s="100" t="str">
        <f>IFERROR(INDEX('I2018'!L$5:L$107,MATCH($C117,'I2018'!$A$5:$A$107,0)),"")</f>
        <v/>
      </c>
      <c r="AY117" s="100" t="str">
        <f>IFERROR(INDEX('I2018'!M$5:M$107,MATCH($C117,'I2018'!$A$5:$A$107,0)),"")</f>
        <v/>
      </c>
      <c r="AZ117" s="100" t="str">
        <f>IFERROR(INDEX('I2019'!B$5:B$112,MATCH($C117,'I2019'!$A$5:$A$112,0)),"")</f>
        <v/>
      </c>
      <c r="BA117" s="100" t="str">
        <f>IFERROR(INDEX('I2019'!C$5:C$112,MATCH($C117,'I2019'!$A$5:$A$112,0)),"")</f>
        <v/>
      </c>
      <c r="BB117" s="100" t="str">
        <f>IFERROR(INDEX('I2019'!D$5:D$112,MATCH($C117,'I2019'!$A$5:$A$112,0)),"")</f>
        <v/>
      </c>
      <c r="BC117" s="100" t="str">
        <f>IFERROR(INDEX('I2019'!E$5:E$112,MATCH($C117,'I2019'!$A$5:$A$112,0)),"")</f>
        <v/>
      </c>
      <c r="BD117" s="100" t="str">
        <f>IFERROR(INDEX('I2019'!F$5:F$112,MATCH($C117,'I2019'!$A$5:$A$112,0)),"")</f>
        <v/>
      </c>
      <c r="BE117" s="100" t="str">
        <f>IFERROR(INDEX('I2019'!G$5:G$112,MATCH($C117,'I2019'!$A$5:$A$112,0)),"")</f>
        <v/>
      </c>
      <c r="BF117" s="100" t="str">
        <f>IFERROR(INDEX('I2019'!H$5:H$112,MATCH($C117,'I2019'!$A$5:$A$112,0)),"")</f>
        <v/>
      </c>
      <c r="BG117" s="100" t="str">
        <f>IFERROR(INDEX('I2019'!I$5:I$112,MATCH($C117,'I2019'!$A$5:$A$112,0)),"")</f>
        <v/>
      </c>
      <c r="BH117" s="100" t="str">
        <f>IFERROR(INDEX('I2019'!J$5:J$112,MATCH($C117,'I2019'!$A$5:$A$112,0)),"")</f>
        <v/>
      </c>
      <c r="BI117" s="100" t="str">
        <f>IFERROR(INDEX('I2019'!K$5:K$112,MATCH($C117,'I2019'!$A$5:$A$112,0)),"")</f>
        <v/>
      </c>
      <c r="BJ117" s="100" t="str">
        <f>IFERROR(INDEX('I2019'!L$5:L$112,MATCH($C117,'I2019'!$A$5:$A$112,0)),"")</f>
        <v/>
      </c>
      <c r="BK117" s="100" t="str">
        <f>IFERROR(INDEX('I2019'!M$5:M$112,MATCH($C117,'I2019'!$A$5:$A$112,0)),"")</f>
        <v/>
      </c>
      <c r="BL117" s="100" t="str">
        <f>IFERROR(INDEX('I2020'!B$5:B$113,MATCH($C117,'I2020'!$A$5:$A$113,0)),"")</f>
        <v/>
      </c>
      <c r="BM117" s="100" t="str">
        <f>IFERROR(INDEX('I2020'!C$5:C$113,MATCH($C117,'I2020'!$A$5:$A$113,0)),"")</f>
        <v/>
      </c>
      <c r="BN117" s="100" t="str">
        <f>IFERROR(INDEX('I2020'!D$5:D$113,MATCH($C117,'I2020'!$A$5:$A$113,0)),"")</f>
        <v/>
      </c>
      <c r="BO117" s="100" t="str">
        <f>IFERROR(INDEX('I2020'!E$5:E$113,MATCH($C117,'I2020'!$A$5:$A$113,0)),"")</f>
        <v/>
      </c>
      <c r="BP117" s="100" t="str">
        <f>IFERROR(INDEX('I2020'!F$5:F$113,MATCH($C117,'I2020'!$A$5:$A$113,0)),"")</f>
        <v/>
      </c>
      <c r="BQ117" s="395" t="str">
        <f>IFERROR(INDEX('I2020'!G$5:G$113,MATCH($C117,'I2020'!$A$5:$A$113,0)),"")</f>
        <v/>
      </c>
      <c r="BR117" s="148"/>
      <c r="BS117" s="148"/>
      <c r="BT117" s="148"/>
      <c r="BU117" s="148"/>
      <c r="BV117" s="148"/>
      <c r="BW117" s="148"/>
      <c r="BX117" s="148"/>
      <c r="BY117" s="148"/>
      <c r="BZ117" s="148"/>
      <c r="CA117" s="148"/>
      <c r="CB117" s="148"/>
      <c r="CC117" s="148"/>
      <c r="CD117" s="148"/>
      <c r="CE117" s="148"/>
      <c r="CF117" s="148"/>
      <c r="CG117" s="148"/>
      <c r="CH117" s="148"/>
      <c r="CI117" s="149"/>
      <c r="CJ117" s="134"/>
    </row>
    <row r="118" spans="1:88" x14ac:dyDescent="0.3">
      <c r="A118" s="33"/>
      <c r="B118" s="68"/>
      <c r="C118" s="21" t="s">
        <v>83</v>
      </c>
      <c r="D118" s="102">
        <f>IFERROR(INDEX('I2015'!B$5:B$73,MATCH($C118,'I2015'!$A$5:$A$73,0)),"")</f>
        <v>0</v>
      </c>
      <c r="E118" s="102">
        <f>IFERROR(INDEX('I2015'!C$5:C$73,MATCH($C118,'I2015'!$A$5:$A$73,0)),"")</f>
        <v>0</v>
      </c>
      <c r="F118" s="102">
        <f>IFERROR(INDEX('I2015'!D$5:D$73,MATCH($C118,'I2015'!$A$5:$A$73,0)),"")</f>
        <v>0</v>
      </c>
      <c r="G118" s="102">
        <f>IFERROR(INDEX('I2015'!E$5:E$73,MATCH($C118,'I2015'!$A$5:$A$73,0)),"")</f>
        <v>7315.38</v>
      </c>
      <c r="H118" s="102">
        <f>IFERROR(INDEX('I2015'!F$5:F$73,MATCH($C118,'I2015'!$A$5:$A$73,0)),"")</f>
        <v>7595.71</v>
      </c>
      <c r="I118" s="102">
        <f>IFERROR(INDEX('I2015'!G$5:G$73,MATCH($C118,'I2015'!$A$5:$A$73,0)),"")</f>
        <v>16411.939999999999</v>
      </c>
      <c r="J118" s="102">
        <f>IFERROR(INDEX('I2015'!H$5:H$73,MATCH($C118,'I2015'!$A$5:$A$73,0)),"")</f>
        <v>4831.8599999999997</v>
      </c>
      <c r="K118" s="102">
        <f>IFERROR(INDEX('I2015'!I$5:I$73,MATCH($C118,'I2015'!$A$5:$A$73,0)),"")</f>
        <v>6241.8</v>
      </c>
      <c r="L118" s="102">
        <f>IFERROR(INDEX('I2015'!J$5:J$73,MATCH($C118,'I2015'!$A$5:$A$73,0)),"")</f>
        <v>7209.62</v>
      </c>
      <c r="M118" s="102">
        <f>IFERROR(INDEX('I2015'!K$5:K$73,MATCH($C118,'I2015'!$A$5:$A$73,0)),"")</f>
        <v>8959.42</v>
      </c>
      <c r="N118" s="102">
        <f>IFERROR(INDEX('I2015'!L$5:L$73,MATCH($C118,'I2015'!$A$5:$A$73,0)),"")</f>
        <v>3806.21</v>
      </c>
      <c r="O118" s="102">
        <f>IFERROR(INDEX('I2015'!M$5:M$73,MATCH($C118,'I2015'!$A$5:$A$73,0)),"")</f>
        <v>39.200000000000003</v>
      </c>
      <c r="P118" s="102">
        <f>IFERROR(INDEX('I2016'!B$5:B$90,MATCH($C118,'I2016'!$A$5:$A$90,0)),"")</f>
        <v>0</v>
      </c>
      <c r="Q118" s="102">
        <f>IFERROR(INDEX('I2016'!C$5:C$90,MATCH($C118,'I2016'!$A$5:$A$90,0)),"")</f>
        <v>0</v>
      </c>
      <c r="R118" s="102">
        <f>IFERROR(INDEX('I2016'!D$5:D$90,MATCH($C118,'I2016'!$A$5:$A$90,0)),"")</f>
        <v>0</v>
      </c>
      <c r="S118" s="102">
        <f>IFERROR(INDEX('I2016'!E$5:E$90,MATCH($C118,'I2016'!$A$5:$A$90,0)),"")</f>
        <v>0</v>
      </c>
      <c r="T118" s="102">
        <f>IFERROR(INDEX('I2016'!F$5:F$90,MATCH($C118,'I2016'!$A$5:$A$90,0)),"")</f>
        <v>0</v>
      </c>
      <c r="U118" s="102">
        <f>IFERROR(INDEX('I2016'!G$5:G$90,MATCH($C118,'I2016'!$A$5:$A$90,0)),"")</f>
        <v>0</v>
      </c>
      <c r="V118" s="102">
        <f>IFERROR(INDEX('I2016'!H$5:H$90,MATCH($C118,'I2016'!$A$5:$A$90,0)),"")</f>
        <v>0</v>
      </c>
      <c r="W118" s="102">
        <f>IFERROR(INDEX('I2016'!I$5:I$90,MATCH($C118,'I2016'!$A$5:$A$90,0)),"")</f>
        <v>0</v>
      </c>
      <c r="X118" s="102">
        <f>IFERROR(INDEX('I2016'!J$5:J$90,MATCH($C118,'I2016'!$A$5:$A$90,0)),"")</f>
        <v>0</v>
      </c>
      <c r="Y118" s="102">
        <f>IFERROR(INDEX('I2016'!K$5:K$90,MATCH($C118,'I2016'!$A$5:$A$90,0)),"")</f>
        <v>0</v>
      </c>
      <c r="Z118" s="102">
        <f>IFERROR(INDEX('I2016'!L$5:L$90,MATCH($C118,'I2016'!$A$5:$A$90,0)),"")</f>
        <v>0</v>
      </c>
      <c r="AA118" s="102">
        <f>IFERROR(INDEX('I2016'!M$5:M$90,MATCH($C118,'I2016'!$A$5:$A$90,0)),"")</f>
        <v>0</v>
      </c>
      <c r="AB118" s="102">
        <f>IFERROR(INDEX('I2017'!B$5:B$96,MATCH($C118,'I2017'!$A$5:$A$96,0)),"")</f>
        <v>0</v>
      </c>
      <c r="AC118" s="102">
        <f>IFERROR(INDEX('I2017'!C$5:C$96,MATCH($C118,'I2017'!$A$5:$A$96,0)),"")</f>
        <v>0</v>
      </c>
      <c r="AD118" s="102">
        <f>IFERROR(INDEX('I2017'!D$5:D$96,MATCH($C118,'I2017'!$A$5:$A$96,0)),"")</f>
        <v>0</v>
      </c>
      <c r="AE118" s="102">
        <f>IFERROR(INDEX('I2017'!E$5:E$96,MATCH($C118,'I2017'!$A$5:$A$96,0)),"")</f>
        <v>0</v>
      </c>
      <c r="AF118" s="102">
        <f>IFERROR(INDEX('I2017'!F$5:F$96,MATCH($C118,'I2017'!$A$5:$A$96,0)),"")</f>
        <v>0</v>
      </c>
      <c r="AG118" s="102">
        <f>IFERROR(INDEX('I2017'!G$5:G$96,MATCH($C118,'I2017'!$A$5:$A$96,0)),"")</f>
        <v>0</v>
      </c>
      <c r="AH118" s="102">
        <f>IFERROR(INDEX('I2017'!H$5:H$96,MATCH($C118,'I2017'!$A$5:$A$96,0)),"")</f>
        <v>0</v>
      </c>
      <c r="AI118" s="102">
        <f>IFERROR(INDEX('I2017'!I$5:I$96,MATCH($C118,'I2017'!$A$5:$A$96,0)),"")</f>
        <v>0</v>
      </c>
      <c r="AJ118" s="102">
        <f>IFERROR(INDEX('I2017'!J$5:J$96,MATCH($C118,'I2017'!$A$5:$A$96,0)),"")</f>
        <v>0</v>
      </c>
      <c r="AK118" s="102">
        <f>IFERROR(INDEX('I2017'!K$5:K$96,MATCH($C118,'I2017'!$A$5:$A$96,0)),"")</f>
        <v>0</v>
      </c>
      <c r="AL118" s="102">
        <f>IFERROR(INDEX('I2017'!L$5:L$96,MATCH($C118,'I2017'!$A$5:$A$96,0)),"")</f>
        <v>0</v>
      </c>
      <c r="AM118" s="102">
        <f>IFERROR(INDEX('I2017'!M$5:M$96,MATCH($C118,'I2017'!$A$5:$A$96,0)),"")</f>
        <v>0</v>
      </c>
      <c r="AN118" s="102">
        <f>IFERROR(INDEX('I2018'!B$5:B$107,MATCH($C118,'I2018'!$A$5:$A$107,0)),"")</f>
        <v>0</v>
      </c>
      <c r="AO118" s="102">
        <f>IFERROR(INDEX('I2018'!C$5:C$107,MATCH($C118,'I2018'!$A$5:$A$107,0)),"")</f>
        <v>0</v>
      </c>
      <c r="AP118" s="102">
        <f>IFERROR(INDEX('I2018'!D$5:D$107,MATCH($C118,'I2018'!$A$5:$A$107,0)),"")</f>
        <v>0</v>
      </c>
      <c r="AQ118" s="102">
        <f>IFERROR(INDEX('I2018'!E$5:E$107,MATCH($C118,'I2018'!$A$5:$A$107,0)),"")</f>
        <v>0</v>
      </c>
      <c r="AR118" s="102">
        <f>IFERROR(INDEX('I2018'!F$5:F$107,MATCH($C118,'I2018'!$A$5:$A$107,0)),"")</f>
        <v>0</v>
      </c>
      <c r="AS118" s="102">
        <f>IFERROR(INDEX('I2018'!G$5:G$107,MATCH($C118,'I2018'!$A$5:$A$107,0)),"")</f>
        <v>0</v>
      </c>
      <c r="AT118" s="102">
        <f>IFERROR(INDEX('I2018'!H$5:H$107,MATCH($C118,'I2018'!$A$5:$A$107,0)),"")</f>
        <v>0</v>
      </c>
      <c r="AU118" s="102">
        <f>IFERROR(INDEX('I2018'!I$5:I$107,MATCH($C118,'I2018'!$A$5:$A$107,0)),"")</f>
        <v>0</v>
      </c>
      <c r="AV118" s="102">
        <f>IFERROR(INDEX('I2018'!J$5:J$107,MATCH($C118,'I2018'!$A$5:$A$107,0)),"")</f>
        <v>0</v>
      </c>
      <c r="AW118" s="102">
        <f>IFERROR(INDEX('I2018'!K$5:K$107,MATCH($C118,'I2018'!$A$5:$A$107,0)),"")</f>
        <v>0</v>
      </c>
      <c r="AX118" s="102">
        <f>IFERROR(INDEX('I2018'!L$5:L$107,MATCH($C118,'I2018'!$A$5:$A$107,0)),"")</f>
        <v>0</v>
      </c>
      <c r="AY118" s="102">
        <f>IFERROR(INDEX('I2018'!M$5:M$107,MATCH($C118,'I2018'!$A$5:$A$107,0)),"")</f>
        <v>0</v>
      </c>
      <c r="AZ118" s="102">
        <f>IFERROR(INDEX('I2019'!B$5:B$112,MATCH($C118,'I2019'!$A$5:$A$112,0)),"")</f>
        <v>0</v>
      </c>
      <c r="BA118" s="102">
        <f>IFERROR(INDEX('I2019'!C$5:C$112,MATCH($C118,'I2019'!$A$5:$A$112,0)),"")</f>
        <v>0</v>
      </c>
      <c r="BB118" s="102">
        <f>IFERROR(INDEX('I2019'!D$5:D$112,MATCH($C118,'I2019'!$A$5:$A$112,0)),"")</f>
        <v>0</v>
      </c>
      <c r="BC118" s="102">
        <f>IFERROR(INDEX('I2019'!E$5:E$112,MATCH($C118,'I2019'!$A$5:$A$112,0)),"")</f>
        <v>0</v>
      </c>
      <c r="BD118" s="102">
        <f>IFERROR(INDEX('I2019'!F$5:F$112,MATCH($C118,'I2019'!$A$5:$A$112,0)),"")</f>
        <v>0</v>
      </c>
      <c r="BE118" s="102">
        <f>IFERROR(INDEX('I2019'!G$5:G$112,MATCH($C118,'I2019'!$A$5:$A$112,0)),"")</f>
        <v>0</v>
      </c>
      <c r="BF118" s="102">
        <f>IFERROR(INDEX('I2019'!H$5:H$112,MATCH($C118,'I2019'!$A$5:$A$112,0)),"")</f>
        <v>0</v>
      </c>
      <c r="BG118" s="102">
        <f>IFERROR(INDEX('I2019'!I$5:I$112,MATCH($C118,'I2019'!$A$5:$A$112,0)),"")</f>
        <v>0</v>
      </c>
      <c r="BH118" s="102">
        <f>IFERROR(INDEX('I2019'!J$5:J$112,MATCH($C118,'I2019'!$A$5:$A$112,0)),"")</f>
        <v>0</v>
      </c>
      <c r="BI118" s="102">
        <f>IFERROR(INDEX('I2019'!K$5:K$112,MATCH($C118,'I2019'!$A$5:$A$112,0)),"")</f>
        <v>0</v>
      </c>
      <c r="BJ118" s="102">
        <f>IFERROR(INDEX('I2019'!L$5:L$112,MATCH($C118,'I2019'!$A$5:$A$112,0)),"")</f>
        <v>0</v>
      </c>
      <c r="BK118" s="102">
        <f>IFERROR(INDEX('I2019'!M$5:M$112,MATCH($C118,'I2019'!$A$5:$A$112,0)),"")</f>
        <v>0</v>
      </c>
      <c r="BL118" s="102">
        <f>IFERROR(INDEX('I2020'!B$5:B$113,MATCH($C118,'I2020'!$A$5:$A$113,0)),"")</f>
        <v>0</v>
      </c>
      <c r="BM118" s="102">
        <f>IFERROR(INDEX('I2020'!C$5:C$113,MATCH($C118,'I2020'!$A$5:$A$113,0)),"")</f>
        <v>0</v>
      </c>
      <c r="BN118" s="102">
        <f>IFERROR(INDEX('I2020'!D$5:D$113,MATCH($C118,'I2020'!$A$5:$A$113,0)),"")</f>
        <v>0</v>
      </c>
      <c r="BO118" s="102">
        <f>IFERROR(INDEX('I2020'!E$5:E$113,MATCH($C118,'I2020'!$A$5:$A$113,0)),"")</f>
        <v>0</v>
      </c>
      <c r="BP118" s="102">
        <f>IFERROR(INDEX('I2020'!F$5:F$113,MATCH($C118,'I2020'!$A$5:$A$113,0)),"")</f>
        <v>0</v>
      </c>
      <c r="BQ118" s="392">
        <f>IFERROR(INDEX('I2020'!G$5:G$113,MATCH($C118,'I2020'!$A$5:$A$113,0)),"")</f>
        <v>0</v>
      </c>
      <c r="BR118" s="64"/>
      <c r="BS118" s="64"/>
      <c r="BT118" s="64"/>
      <c r="BU118" s="64"/>
      <c r="BV118" s="64"/>
      <c r="BW118" s="64"/>
      <c r="BX118" s="64"/>
      <c r="BY118" s="64"/>
      <c r="BZ118" s="64"/>
      <c r="CA118" s="64"/>
      <c r="CB118" s="64"/>
      <c r="CC118" s="64"/>
      <c r="CD118" s="64"/>
      <c r="CE118" s="64"/>
      <c r="CF118" s="64"/>
      <c r="CG118" s="64"/>
      <c r="CH118" s="64"/>
      <c r="CI118" s="124"/>
      <c r="CJ118" s="134"/>
    </row>
    <row r="119" spans="1:88" x14ac:dyDescent="0.3">
      <c r="A119" s="33"/>
      <c r="B119" s="68"/>
      <c r="C119" s="21" t="s">
        <v>84</v>
      </c>
      <c r="D119" s="102" t="str">
        <f>IFERROR(INDEX('I2015'!B$5:B$73,MATCH($C119,'I2015'!$A$5:$A$73,0)),"")</f>
        <v/>
      </c>
      <c r="E119" s="102" t="str">
        <f>IFERROR(INDEX('I2015'!C$5:C$73,MATCH($C119,'I2015'!$A$5:$A$73,0)),"")</f>
        <v/>
      </c>
      <c r="F119" s="102" t="str">
        <f>IFERROR(INDEX('I2015'!D$5:D$73,MATCH($C119,'I2015'!$A$5:$A$73,0)),"")</f>
        <v/>
      </c>
      <c r="G119" s="102" t="str">
        <f>IFERROR(INDEX('I2015'!E$5:E$73,MATCH($C119,'I2015'!$A$5:$A$73,0)),"")</f>
        <v/>
      </c>
      <c r="H119" s="102" t="str">
        <f>IFERROR(INDEX('I2015'!F$5:F$73,MATCH($C119,'I2015'!$A$5:$A$73,0)),"")</f>
        <v/>
      </c>
      <c r="I119" s="102" t="str">
        <f>IFERROR(INDEX('I2015'!G$5:G$73,MATCH($C119,'I2015'!$A$5:$A$73,0)),"")</f>
        <v/>
      </c>
      <c r="J119" s="102" t="str">
        <f>IFERROR(INDEX('I2015'!H$5:H$73,MATCH($C119,'I2015'!$A$5:$A$73,0)),"")</f>
        <v/>
      </c>
      <c r="K119" s="102" t="str">
        <f>IFERROR(INDEX('I2015'!I$5:I$73,MATCH($C119,'I2015'!$A$5:$A$73,0)),"")</f>
        <v/>
      </c>
      <c r="L119" s="102" t="str">
        <f>IFERROR(INDEX('I2015'!J$5:J$73,MATCH($C119,'I2015'!$A$5:$A$73,0)),"")</f>
        <v/>
      </c>
      <c r="M119" s="102" t="str">
        <f>IFERROR(INDEX('I2015'!K$5:K$73,MATCH($C119,'I2015'!$A$5:$A$73,0)),"")</f>
        <v/>
      </c>
      <c r="N119" s="102" t="str">
        <f>IFERROR(INDEX('I2015'!L$5:L$73,MATCH($C119,'I2015'!$A$5:$A$73,0)),"")</f>
        <v/>
      </c>
      <c r="O119" s="102" t="str">
        <f>IFERROR(INDEX('I2015'!M$5:M$73,MATCH($C119,'I2015'!$A$5:$A$73,0)),"")</f>
        <v/>
      </c>
      <c r="P119" s="102" t="str">
        <f>IFERROR(INDEX('I2016'!B$5:B$90,MATCH($C119,'I2016'!$A$5:$A$90,0)),"")</f>
        <v/>
      </c>
      <c r="Q119" s="102" t="str">
        <f>IFERROR(INDEX('I2016'!C$5:C$90,MATCH($C119,'I2016'!$A$5:$A$90,0)),"")</f>
        <v/>
      </c>
      <c r="R119" s="102" t="str">
        <f>IFERROR(INDEX('I2016'!D$5:D$90,MATCH($C119,'I2016'!$A$5:$A$90,0)),"")</f>
        <v/>
      </c>
      <c r="S119" s="102" t="str">
        <f>IFERROR(INDEX('I2016'!E$5:E$90,MATCH($C119,'I2016'!$A$5:$A$90,0)),"")</f>
        <v/>
      </c>
      <c r="T119" s="102" t="str">
        <f>IFERROR(INDEX('I2016'!F$5:F$90,MATCH($C119,'I2016'!$A$5:$A$90,0)),"")</f>
        <v/>
      </c>
      <c r="U119" s="102" t="str">
        <f>IFERROR(INDEX('I2016'!G$5:G$90,MATCH($C119,'I2016'!$A$5:$A$90,0)),"")</f>
        <v/>
      </c>
      <c r="V119" s="102" t="str">
        <f>IFERROR(INDEX('I2016'!H$5:H$90,MATCH($C119,'I2016'!$A$5:$A$90,0)),"")</f>
        <v/>
      </c>
      <c r="W119" s="102" t="str">
        <f>IFERROR(INDEX('I2016'!I$5:I$90,MATCH($C119,'I2016'!$A$5:$A$90,0)),"")</f>
        <v/>
      </c>
      <c r="X119" s="102" t="str">
        <f>IFERROR(INDEX('I2016'!J$5:J$90,MATCH($C119,'I2016'!$A$5:$A$90,0)),"")</f>
        <v/>
      </c>
      <c r="Y119" s="102" t="str">
        <f>IFERROR(INDEX('I2016'!K$5:K$90,MATCH($C119,'I2016'!$A$5:$A$90,0)),"")</f>
        <v/>
      </c>
      <c r="Z119" s="102" t="str">
        <f>IFERROR(INDEX('I2016'!L$5:L$90,MATCH($C119,'I2016'!$A$5:$A$90,0)),"")</f>
        <v/>
      </c>
      <c r="AA119" s="102" t="str">
        <f>IFERROR(INDEX('I2016'!M$5:M$90,MATCH($C119,'I2016'!$A$5:$A$90,0)),"")</f>
        <v/>
      </c>
      <c r="AB119" s="102">
        <f>IFERROR(INDEX('I2017'!B$5:B$96,MATCH($C119,'I2017'!$A$5:$A$96,0)),"")</f>
        <v>0</v>
      </c>
      <c r="AC119" s="102">
        <f>IFERROR(INDEX('I2017'!C$5:C$96,MATCH($C119,'I2017'!$A$5:$A$96,0)),"")</f>
        <v>0</v>
      </c>
      <c r="AD119" s="102">
        <f>IFERROR(INDEX('I2017'!D$5:D$96,MATCH($C119,'I2017'!$A$5:$A$96,0)),"")</f>
        <v>2475.65</v>
      </c>
      <c r="AE119" s="102">
        <f>IFERROR(INDEX('I2017'!E$5:E$96,MATCH($C119,'I2017'!$A$5:$A$96,0)),"")</f>
        <v>1846.03</v>
      </c>
      <c r="AF119" s="102">
        <f>IFERROR(INDEX('I2017'!F$5:F$96,MATCH($C119,'I2017'!$A$5:$A$96,0)),"")</f>
        <v>2334.1799999999998</v>
      </c>
      <c r="AG119" s="102">
        <f>IFERROR(INDEX('I2017'!G$5:G$96,MATCH($C119,'I2017'!$A$5:$A$96,0)),"")</f>
        <v>2334.1799999999998</v>
      </c>
      <c r="AH119" s="102">
        <f>IFERROR(INDEX('I2017'!H$5:H$96,MATCH($C119,'I2017'!$A$5:$A$96,0)),"")</f>
        <v>2486.34</v>
      </c>
      <c r="AI119" s="102">
        <f>IFERROR(INDEX('I2017'!I$5:I$96,MATCH($C119,'I2017'!$A$5:$A$96,0)),"")</f>
        <v>2585.16</v>
      </c>
      <c r="AJ119" s="102">
        <f>IFERROR(INDEX('I2017'!J$5:J$96,MATCH($C119,'I2017'!$A$5:$A$96,0)),"")</f>
        <v>2235.31</v>
      </c>
      <c r="AK119" s="102">
        <f>IFERROR(INDEX('I2017'!K$5:K$96,MATCH($C119,'I2017'!$A$5:$A$96,0)),"")</f>
        <v>2129.88</v>
      </c>
      <c r="AL119" s="102">
        <f>IFERROR(INDEX('I2017'!L$5:L$96,MATCH($C119,'I2017'!$A$5:$A$96,0)),"")</f>
        <v>2609.13</v>
      </c>
      <c r="AM119" s="102">
        <f>IFERROR(INDEX('I2017'!M$5:M$96,MATCH($C119,'I2017'!$A$5:$A$96,0)),"")</f>
        <v>6297.27</v>
      </c>
      <c r="AN119" s="102">
        <f>IFERROR(INDEX('I2018'!B$5:B$107,MATCH($C119,'I2018'!$A$5:$A$107,0)),"")</f>
        <v>4925.7700000000004</v>
      </c>
      <c r="AO119" s="102">
        <f>IFERROR(INDEX('I2018'!C$5:C$107,MATCH($C119,'I2018'!$A$5:$A$107,0)),"")</f>
        <v>3945.81</v>
      </c>
      <c r="AP119" s="102">
        <f>IFERROR(INDEX('I2018'!D$5:D$107,MATCH($C119,'I2018'!$A$5:$A$107,0)),"")</f>
        <v>1904.41</v>
      </c>
      <c r="AQ119" s="102">
        <f>IFERROR(INDEX('I2018'!E$5:E$107,MATCH($C119,'I2018'!$A$5:$A$107,0)),"")</f>
        <v>4520.1499999999996</v>
      </c>
      <c r="AR119" s="102">
        <f>IFERROR(INDEX('I2018'!F$5:F$107,MATCH($C119,'I2018'!$A$5:$A$107,0)),"")</f>
        <v>3724.5</v>
      </c>
      <c r="AS119" s="102">
        <f>IFERROR(INDEX('I2018'!G$5:G$107,MATCH($C119,'I2018'!$A$5:$A$107,0)),"")</f>
        <v>4779.17</v>
      </c>
      <c r="AT119" s="102">
        <f>IFERROR(INDEX('I2018'!H$5:H$107,MATCH($C119,'I2018'!$A$5:$A$107,0)),"")</f>
        <v>6460.95</v>
      </c>
      <c r="AU119" s="102">
        <f>IFERROR(INDEX('I2018'!I$5:I$107,MATCH($C119,'I2018'!$A$5:$A$107,0)),"")</f>
        <v>8222.7099999999991</v>
      </c>
      <c r="AV119" s="102">
        <f>IFERROR(INDEX('I2018'!J$5:J$107,MATCH($C119,'I2018'!$A$5:$A$107,0)),"")</f>
        <v>10272.67</v>
      </c>
      <c r="AW119" s="102">
        <f>IFERROR(INDEX('I2018'!K$5:K$107,MATCH($C119,'I2018'!$A$5:$A$107,0)),"")</f>
        <v>10879.46</v>
      </c>
      <c r="AX119" s="102">
        <f>IFERROR(INDEX('I2018'!L$5:L$107,MATCH($C119,'I2018'!$A$5:$A$107,0)),"")</f>
        <v>9594.83</v>
      </c>
      <c r="AY119" s="102">
        <f>IFERROR(INDEX('I2018'!M$5:M$107,MATCH($C119,'I2018'!$A$5:$A$107,0)),"")</f>
        <v>11732.63</v>
      </c>
      <c r="AZ119" s="102">
        <f>IFERROR(INDEX('I2019'!B$5:B$112,MATCH($C119,'I2019'!$A$5:$A$112,0)),"")</f>
        <v>11026.81</v>
      </c>
      <c r="BA119" s="102">
        <f>IFERROR(INDEX('I2019'!C$5:C$112,MATCH($C119,'I2019'!$A$5:$A$112,0)),"")</f>
        <v>16710.73</v>
      </c>
      <c r="BB119" s="102">
        <f>IFERROR(INDEX('I2019'!D$5:D$112,MATCH($C119,'I2019'!$A$5:$A$112,0)),"")</f>
        <v>11929.15</v>
      </c>
      <c r="BC119" s="102">
        <f>IFERROR(INDEX('I2019'!E$5:E$112,MATCH($C119,'I2019'!$A$5:$A$112,0)),"")</f>
        <v>10593.16</v>
      </c>
      <c r="BD119" s="102">
        <f>IFERROR(INDEX('I2019'!F$5:F$112,MATCH($C119,'I2019'!$A$5:$A$112,0)),"")</f>
        <v>11667.93</v>
      </c>
      <c r="BE119" s="102">
        <f>IFERROR(INDEX('I2019'!G$5:G$112,MATCH($C119,'I2019'!$A$5:$A$112,0)),"")</f>
        <v>11677.03</v>
      </c>
      <c r="BF119" s="102">
        <f>IFERROR(INDEX('I2019'!H$5:H$112,MATCH($C119,'I2019'!$A$5:$A$112,0)),"")</f>
        <v>15172.34</v>
      </c>
      <c r="BG119" s="102">
        <f>IFERROR(INDEX('I2019'!I$5:I$112,MATCH($C119,'I2019'!$A$5:$A$112,0)),"")</f>
        <v>16340.75</v>
      </c>
      <c r="BH119" s="102">
        <f>IFERROR(INDEX('I2019'!J$5:J$112,MATCH($C119,'I2019'!$A$5:$A$112,0)),"")</f>
        <v>18443.310000000001</v>
      </c>
      <c r="BI119" s="102">
        <f>IFERROR(INDEX('I2019'!K$5:K$112,MATCH($C119,'I2019'!$A$5:$A$112,0)),"")</f>
        <v>10238.1</v>
      </c>
      <c r="BJ119" s="102">
        <f>IFERROR(INDEX('I2019'!L$5:L$112,MATCH($C119,'I2019'!$A$5:$A$112,0)),"")</f>
        <v>12075.11</v>
      </c>
      <c r="BK119" s="102">
        <f>IFERROR(INDEX('I2019'!M$5:M$112,MATCH($C119,'I2019'!$A$5:$A$112,0)),"")</f>
        <v>11690.77</v>
      </c>
      <c r="BL119" s="102">
        <f>IFERROR(INDEX('I2020'!B$5:B$113,MATCH($C119,'I2020'!$A$5:$A$113,0)),"")</f>
        <v>11412.97</v>
      </c>
      <c r="BM119" s="102">
        <f>IFERROR(INDEX('I2020'!C$5:C$113,MATCH($C119,'I2020'!$A$5:$A$113,0)),"")</f>
        <v>7427.88</v>
      </c>
      <c r="BN119" s="102">
        <f>IFERROR(INDEX('I2020'!D$5:D$113,MATCH($C119,'I2020'!$A$5:$A$113,0)),"")</f>
        <v>6732</v>
      </c>
      <c r="BO119" s="102">
        <f>IFERROR(INDEX('I2020'!E$5:E$113,MATCH($C119,'I2020'!$A$5:$A$113,0)),"")</f>
        <v>4995.05</v>
      </c>
      <c r="BP119" s="102">
        <f>IFERROR(INDEX('I2020'!F$5:F$113,MATCH($C119,'I2020'!$A$5:$A$113,0)),"")</f>
        <v>0</v>
      </c>
      <c r="BQ119" s="392">
        <f>IFERROR(INDEX('I2020'!G$5:G$113,MATCH($C119,'I2020'!$A$5:$A$113,0)),"")</f>
        <v>7185.8</v>
      </c>
      <c r="BR119" s="64">
        <f t="shared" ref="BQ119:CI121" si="96">SUM($AZ119:$BK119)/SUM($AZ$126:$BK$126)*BR$126</f>
        <v>15787.168476944504</v>
      </c>
      <c r="BS119" s="64">
        <f t="shared" si="96"/>
        <v>16008.826356287173</v>
      </c>
      <c r="BT119" s="64">
        <f t="shared" si="96"/>
        <v>16388.898154245198</v>
      </c>
      <c r="BU119" s="64">
        <f t="shared" si="96"/>
        <v>16907.865816764552</v>
      </c>
      <c r="BV119" s="64">
        <f t="shared" si="96"/>
        <v>17550.844784382138</v>
      </c>
      <c r="BW119" s="64">
        <f t="shared" si="96"/>
        <v>18306.701086334429</v>
      </c>
      <c r="BX119" s="64">
        <f t="shared" si="96"/>
        <v>18975.376506778706</v>
      </c>
      <c r="BY119" s="64">
        <f t="shared" si="96"/>
        <v>19575.267077699784</v>
      </c>
      <c r="BZ119" s="64">
        <f t="shared" si="96"/>
        <v>20121.104022520805</v>
      </c>
      <c r="CA119" s="64">
        <f t="shared" si="96"/>
        <v>20624.686933783029</v>
      </c>
      <c r="CB119" s="64">
        <f t="shared" si="96"/>
        <v>21095.470318529311</v>
      </c>
      <c r="CC119" s="64">
        <f t="shared" si="96"/>
        <v>21541.032837898874</v>
      </c>
      <c r="CD119" s="64">
        <f t="shared" si="96"/>
        <v>21967.452702140657</v>
      </c>
      <c r="CE119" s="64">
        <f t="shared" si="96"/>
        <v>22379.607990011405</v>
      </c>
      <c r="CF119" s="64">
        <f t="shared" si="96"/>
        <v>22781.416907732491</v>
      </c>
      <c r="CG119" s="64">
        <f t="shared" si="96"/>
        <v>23176.029999645205</v>
      </c>
      <c r="CH119" s="64">
        <f t="shared" si="96"/>
        <v>23565.98392027726</v>
      </c>
      <c r="CI119" s="124">
        <f t="shared" si="96"/>
        <v>23953.32445559133</v>
      </c>
      <c r="CJ119" s="134"/>
    </row>
    <row r="120" spans="1:88" x14ac:dyDescent="0.3">
      <c r="A120" s="33"/>
      <c r="B120" s="68"/>
      <c r="C120" s="21" t="s">
        <v>85</v>
      </c>
      <c r="D120" s="102" t="str">
        <f>IFERROR(INDEX('I2015'!B$5:B$73,MATCH($C120,'I2015'!$A$5:$A$73,0)),"")</f>
        <v/>
      </c>
      <c r="E120" s="102" t="str">
        <f>IFERROR(INDEX('I2015'!C$5:C$73,MATCH($C120,'I2015'!$A$5:$A$73,0)),"")</f>
        <v/>
      </c>
      <c r="F120" s="102" t="str">
        <f>IFERROR(INDEX('I2015'!D$5:D$73,MATCH($C120,'I2015'!$A$5:$A$73,0)),"")</f>
        <v/>
      </c>
      <c r="G120" s="102" t="str">
        <f>IFERROR(INDEX('I2015'!E$5:E$73,MATCH($C120,'I2015'!$A$5:$A$73,0)),"")</f>
        <v/>
      </c>
      <c r="H120" s="102" t="str">
        <f>IFERROR(INDEX('I2015'!F$5:F$73,MATCH($C120,'I2015'!$A$5:$A$73,0)),"")</f>
        <v/>
      </c>
      <c r="I120" s="102" t="str">
        <f>IFERROR(INDEX('I2015'!G$5:G$73,MATCH($C120,'I2015'!$A$5:$A$73,0)),"")</f>
        <v/>
      </c>
      <c r="J120" s="102" t="str">
        <f>IFERROR(INDEX('I2015'!H$5:H$73,MATCH($C120,'I2015'!$A$5:$A$73,0)),"")</f>
        <v/>
      </c>
      <c r="K120" s="102" t="str">
        <f>IFERROR(INDEX('I2015'!I$5:I$73,MATCH($C120,'I2015'!$A$5:$A$73,0)),"")</f>
        <v/>
      </c>
      <c r="L120" s="102" t="str">
        <f>IFERROR(INDEX('I2015'!J$5:J$73,MATCH($C120,'I2015'!$A$5:$A$73,0)),"")</f>
        <v/>
      </c>
      <c r="M120" s="102" t="str">
        <f>IFERROR(INDEX('I2015'!K$5:K$73,MATCH($C120,'I2015'!$A$5:$A$73,0)),"")</f>
        <v/>
      </c>
      <c r="N120" s="102" t="str">
        <f>IFERROR(INDEX('I2015'!L$5:L$73,MATCH($C120,'I2015'!$A$5:$A$73,0)),"")</f>
        <v/>
      </c>
      <c r="O120" s="102" t="str">
        <f>IFERROR(INDEX('I2015'!M$5:M$73,MATCH($C120,'I2015'!$A$5:$A$73,0)),"")</f>
        <v/>
      </c>
      <c r="P120" s="102">
        <f>IFERROR(INDEX('I2016'!B$5:B$90,MATCH($C120,'I2016'!$A$5:$A$90,0)),"")</f>
        <v>36</v>
      </c>
      <c r="Q120" s="102">
        <f>IFERROR(INDEX('I2016'!C$5:C$90,MATCH($C120,'I2016'!$A$5:$A$90,0)),"")</f>
        <v>45.6</v>
      </c>
      <c r="R120" s="102">
        <f>IFERROR(INDEX('I2016'!D$5:D$90,MATCH($C120,'I2016'!$A$5:$A$90,0)),"")</f>
        <v>52</v>
      </c>
      <c r="S120" s="102">
        <f>IFERROR(INDEX('I2016'!E$5:E$90,MATCH($C120,'I2016'!$A$5:$A$90,0)),"")</f>
        <v>53.6</v>
      </c>
      <c r="T120" s="102">
        <f>IFERROR(INDEX('I2016'!F$5:F$90,MATCH($C120,'I2016'!$A$5:$A$90,0)),"")</f>
        <v>48.8</v>
      </c>
      <c r="U120" s="102">
        <f>IFERROR(INDEX('I2016'!G$5:G$90,MATCH($C120,'I2016'!$A$5:$A$90,0)),"")</f>
        <v>0</v>
      </c>
      <c r="V120" s="102">
        <f>IFERROR(INDEX('I2016'!H$5:H$90,MATCH($C120,'I2016'!$A$5:$A$90,0)),"")</f>
        <v>48.8</v>
      </c>
      <c r="W120" s="102">
        <f>IFERROR(INDEX('I2016'!I$5:I$90,MATCH($C120,'I2016'!$A$5:$A$90,0)),"")</f>
        <v>48.8</v>
      </c>
      <c r="X120" s="102">
        <f>IFERROR(INDEX('I2016'!J$5:J$90,MATCH($C120,'I2016'!$A$5:$A$90,0)),"")</f>
        <v>48.8</v>
      </c>
      <c r="Y120" s="102">
        <f>IFERROR(INDEX('I2016'!K$5:K$90,MATCH($C120,'I2016'!$A$5:$A$90,0)),"")</f>
        <v>0</v>
      </c>
      <c r="Z120" s="102">
        <f>IFERROR(INDEX('I2016'!L$5:L$90,MATCH($C120,'I2016'!$A$5:$A$90,0)),"")</f>
        <v>0</v>
      </c>
      <c r="AA120" s="102">
        <f>IFERROR(INDEX('I2016'!M$5:M$90,MATCH($C120,'I2016'!$A$5:$A$90,0)),"")</f>
        <v>0</v>
      </c>
      <c r="AB120" s="102">
        <f>IFERROR(INDEX('I2017'!B$5:B$96,MATCH($C120,'I2017'!$A$5:$A$96,0)),"")</f>
        <v>93.6</v>
      </c>
      <c r="AC120" s="102">
        <f>IFERROR(INDEX('I2017'!C$5:C$96,MATCH($C120,'I2017'!$A$5:$A$96,0)),"")</f>
        <v>98.4</v>
      </c>
      <c r="AD120" s="102">
        <f>IFERROR(INDEX('I2017'!D$5:D$96,MATCH($C120,'I2017'!$A$5:$A$96,0)),"")</f>
        <v>108</v>
      </c>
      <c r="AE120" s="102">
        <f>IFERROR(INDEX('I2017'!E$5:E$96,MATCH($C120,'I2017'!$A$5:$A$96,0)),"")</f>
        <v>112.8</v>
      </c>
      <c r="AF120" s="102">
        <f>IFERROR(INDEX('I2017'!F$5:F$96,MATCH($C120,'I2017'!$A$5:$A$96,0)),"")</f>
        <v>127.2</v>
      </c>
      <c r="AG120" s="102">
        <f>IFERROR(INDEX('I2017'!G$5:G$96,MATCH($C120,'I2017'!$A$5:$A$96,0)),"")</f>
        <v>141.6</v>
      </c>
      <c r="AH120" s="102">
        <f>IFERROR(INDEX('I2017'!H$5:H$96,MATCH($C120,'I2017'!$A$5:$A$96,0)),"")</f>
        <v>136.80000000000001</v>
      </c>
      <c r="AI120" s="102">
        <f>IFERROR(INDEX('I2017'!I$5:I$96,MATCH($C120,'I2017'!$A$5:$A$96,0)),"")</f>
        <v>141.6</v>
      </c>
      <c r="AJ120" s="102">
        <f>IFERROR(INDEX('I2017'!J$5:J$96,MATCH($C120,'I2017'!$A$5:$A$96,0)),"")</f>
        <v>221.4</v>
      </c>
      <c r="AK120" s="102">
        <f>IFERROR(INDEX('I2017'!K$5:K$96,MATCH($C120,'I2017'!$A$5:$A$96,0)),"")</f>
        <v>291.60000000000002</v>
      </c>
      <c r="AL120" s="102">
        <f>IFERROR(INDEX('I2017'!L$5:L$96,MATCH($C120,'I2017'!$A$5:$A$96,0)),"")</f>
        <v>151.19999999999999</v>
      </c>
      <c r="AM120" s="102">
        <f>IFERROR(INDEX('I2017'!M$5:M$96,MATCH($C120,'I2017'!$A$5:$A$96,0)),"")</f>
        <v>151.19999999999999</v>
      </c>
      <c r="AN120" s="102">
        <f>IFERROR(INDEX('I2018'!B$5:B$107,MATCH($C120,'I2018'!$A$5:$A$107,0)),"")</f>
        <v>151.19999999999999</v>
      </c>
      <c r="AO120" s="102">
        <f>IFERROR(INDEX('I2018'!C$5:C$107,MATCH($C120,'I2018'!$A$5:$A$107,0)),"")</f>
        <v>151.19999999999999</v>
      </c>
      <c r="AP120" s="102">
        <f>IFERROR(INDEX('I2018'!D$5:D$107,MATCH($C120,'I2018'!$A$5:$A$107,0)),"")</f>
        <v>156</v>
      </c>
      <c r="AQ120" s="102">
        <f>IFERROR(INDEX('I2018'!E$5:E$107,MATCH($C120,'I2018'!$A$5:$A$107,0)),"")</f>
        <v>180</v>
      </c>
      <c r="AR120" s="102">
        <f>IFERROR(INDEX('I2018'!F$5:F$107,MATCH($C120,'I2018'!$A$5:$A$107,0)),"")</f>
        <v>267</v>
      </c>
      <c r="AS120" s="102">
        <f>IFERROR(INDEX('I2018'!G$5:G$107,MATCH($C120,'I2018'!$A$5:$A$107,0)),"")</f>
        <v>660.35</v>
      </c>
      <c r="AT120" s="102">
        <f>IFERROR(INDEX('I2018'!H$5:H$107,MATCH($C120,'I2018'!$A$5:$A$107,0)),"")</f>
        <v>988.56</v>
      </c>
      <c r="AU120" s="102">
        <f>IFERROR(INDEX('I2018'!I$5:I$107,MATCH($C120,'I2018'!$A$5:$A$107,0)),"")</f>
        <v>1762.68</v>
      </c>
      <c r="AV120" s="102">
        <f>IFERROR(INDEX('I2018'!J$5:J$107,MATCH($C120,'I2018'!$A$5:$A$107,0)),"")</f>
        <v>2074.13</v>
      </c>
      <c r="AW120" s="102">
        <f>IFERROR(INDEX('I2018'!K$5:K$107,MATCH($C120,'I2018'!$A$5:$A$107,0)),"")</f>
        <v>2691.62</v>
      </c>
      <c r="AX120" s="102">
        <f>IFERROR(INDEX('I2018'!L$5:L$107,MATCH($C120,'I2018'!$A$5:$A$107,0)),"")</f>
        <v>2322.2199999999998</v>
      </c>
      <c r="AY120" s="102">
        <f>IFERROR(INDEX('I2018'!M$5:M$107,MATCH($C120,'I2018'!$A$5:$A$107,0)),"")</f>
        <v>2361.85</v>
      </c>
      <c r="AZ120" s="102">
        <f>IFERROR(INDEX('I2019'!B$5:B$112,MATCH($C120,'I2019'!$A$5:$A$112,0)),"")</f>
        <v>1501.03</v>
      </c>
      <c r="BA120" s="102">
        <f>IFERROR(INDEX('I2019'!C$5:C$112,MATCH($C120,'I2019'!$A$5:$A$112,0)),"")</f>
        <v>1302.8699999999999</v>
      </c>
      <c r="BB120" s="102">
        <f>IFERROR(INDEX('I2019'!D$5:D$112,MATCH($C120,'I2019'!$A$5:$A$112,0)),"")</f>
        <v>2556.4699999999998</v>
      </c>
      <c r="BC120" s="102">
        <f>IFERROR(INDEX('I2019'!E$5:E$112,MATCH($C120,'I2019'!$A$5:$A$112,0)),"")</f>
        <v>3437.52</v>
      </c>
      <c r="BD120" s="102">
        <f>IFERROR(INDEX('I2019'!F$5:F$112,MATCH($C120,'I2019'!$A$5:$A$112,0)),"")</f>
        <v>1303.5899999999999</v>
      </c>
      <c r="BE120" s="102">
        <f>IFERROR(INDEX('I2019'!G$5:G$112,MATCH($C120,'I2019'!$A$5:$A$112,0)),"")</f>
        <v>1359.9</v>
      </c>
      <c r="BF120" s="102">
        <f>IFERROR(INDEX('I2019'!H$5:H$112,MATCH($C120,'I2019'!$A$5:$A$112,0)),"")</f>
        <v>2150.6799999999998</v>
      </c>
      <c r="BG120" s="102">
        <f>IFERROR(INDEX('I2019'!I$5:I$112,MATCH($C120,'I2019'!$A$5:$A$112,0)),"")</f>
        <v>1597.31</v>
      </c>
      <c r="BH120" s="102">
        <f>IFERROR(INDEX('I2019'!J$5:J$112,MATCH($C120,'I2019'!$A$5:$A$112,0)),"")</f>
        <v>1655.54</v>
      </c>
      <c r="BI120" s="102">
        <f>IFERROR(INDEX('I2019'!K$5:K$112,MATCH($C120,'I2019'!$A$5:$A$112,0)),"")</f>
        <v>2119.0100000000002</v>
      </c>
      <c r="BJ120" s="102">
        <f>IFERROR(INDEX('I2019'!L$5:L$112,MATCH($C120,'I2019'!$A$5:$A$112,0)),"")</f>
        <v>1668.19</v>
      </c>
      <c r="BK120" s="102">
        <f>IFERROR(INDEX('I2019'!M$5:M$112,MATCH($C120,'I2019'!$A$5:$A$112,0)),"")</f>
        <v>2000.09</v>
      </c>
      <c r="BL120" s="102">
        <f>IFERROR(INDEX('I2020'!B$5:B$113,MATCH($C120,'I2020'!$A$5:$A$113,0)),"")</f>
        <v>1705.34</v>
      </c>
      <c r="BM120" s="102">
        <f>IFERROR(INDEX('I2020'!C$5:C$113,MATCH($C120,'I2020'!$A$5:$A$113,0)),"")</f>
        <v>1761.97</v>
      </c>
      <c r="BN120" s="102">
        <f>IFERROR(INDEX('I2020'!D$5:D$113,MATCH($C120,'I2020'!$A$5:$A$113,0)),"")</f>
        <v>2172.16</v>
      </c>
      <c r="BO120" s="102">
        <f>IFERROR(INDEX('I2020'!E$5:E$113,MATCH($C120,'I2020'!$A$5:$A$113,0)),"")</f>
        <v>1430.25</v>
      </c>
      <c r="BP120" s="102">
        <f>IFERROR(INDEX('I2020'!F$5:F$113,MATCH($C120,'I2020'!$A$5:$A$113,0)),"")</f>
        <v>1536.09</v>
      </c>
      <c r="BQ120" s="392">
        <f>IFERROR(INDEX('I2020'!G$5:G$113,MATCH($C120,'I2020'!$A$5:$A$113,0)),"")</f>
        <v>2357.0300000000002</v>
      </c>
      <c r="BR120" s="64">
        <f t="shared" ref="BQ120:CA120" si="97">SUM($AZ120:$BK120)/SUM($AZ$126:$BK$126)*BR$126</f>
        <v>2269.6262910192427</v>
      </c>
      <c r="BS120" s="64">
        <f t="shared" si="97"/>
        <v>2301.4927116064678</v>
      </c>
      <c r="BT120" s="64">
        <f t="shared" si="97"/>
        <v>2356.1333488037117</v>
      </c>
      <c r="BU120" s="64">
        <f t="shared" si="97"/>
        <v>2430.7422093326195</v>
      </c>
      <c r="BV120" s="64">
        <f t="shared" si="97"/>
        <v>2523.1794295731252</v>
      </c>
      <c r="BW120" s="64">
        <f t="shared" si="97"/>
        <v>2631.8443454919507</v>
      </c>
      <c r="BX120" s="64">
        <f t="shared" si="97"/>
        <v>2727.9757902545139</v>
      </c>
      <c r="BY120" s="64">
        <f t="shared" si="97"/>
        <v>2814.2184507724774</v>
      </c>
      <c r="BZ120" s="64">
        <f t="shared" si="97"/>
        <v>2892.690146465382</v>
      </c>
      <c r="CA120" s="64">
        <f t="shared" si="97"/>
        <v>2965.0872338074159</v>
      </c>
      <c r="CB120" s="64">
        <f t="shared" si="96"/>
        <v>3032.7689304305709</v>
      </c>
      <c r="CC120" s="64">
        <f t="shared" si="96"/>
        <v>3096.8247748798635</v>
      </c>
      <c r="CD120" s="64">
        <f t="shared" si="96"/>
        <v>3158.1285948973286</v>
      </c>
      <c r="CE120" s="64">
        <f t="shared" si="96"/>
        <v>3217.3816825362023</v>
      </c>
      <c r="CF120" s="64">
        <f t="shared" si="96"/>
        <v>3275.1473347465767</v>
      </c>
      <c r="CG120" s="64">
        <f t="shared" si="96"/>
        <v>3331.8784863456399</v>
      </c>
      <c r="CH120" s="64">
        <f t="shared" si="96"/>
        <v>3387.9398169031156</v>
      </c>
      <c r="CI120" s="124">
        <f t="shared" si="96"/>
        <v>3443.625436766496</v>
      </c>
      <c r="CJ120" s="134"/>
    </row>
    <row r="121" spans="1:88" x14ac:dyDescent="0.3">
      <c r="A121" s="33"/>
      <c r="B121" s="68"/>
      <c r="C121" s="21" t="s">
        <v>86</v>
      </c>
      <c r="D121" s="102">
        <f>IFERROR(INDEX('I2015'!B$5:B$73,MATCH($C121,'I2015'!$A$5:$A$73,0)),"")</f>
        <v>462.7</v>
      </c>
      <c r="E121" s="102">
        <f>IFERROR(INDEX('I2015'!C$5:C$73,MATCH($C121,'I2015'!$A$5:$A$73,0)),"")</f>
        <v>615.22</v>
      </c>
      <c r="F121" s="102">
        <f>IFERROR(INDEX('I2015'!D$5:D$73,MATCH($C121,'I2015'!$A$5:$A$73,0)),"")</f>
        <v>749.27</v>
      </c>
      <c r="G121" s="102">
        <f>IFERROR(INDEX('I2015'!E$5:E$73,MATCH($C121,'I2015'!$A$5:$A$73,0)),"")</f>
        <v>0</v>
      </c>
      <c r="H121" s="102">
        <f>IFERROR(INDEX('I2015'!F$5:F$73,MATCH($C121,'I2015'!$A$5:$A$73,0)),"")</f>
        <v>0</v>
      </c>
      <c r="I121" s="102">
        <f>IFERROR(INDEX('I2015'!G$5:G$73,MATCH($C121,'I2015'!$A$5:$A$73,0)),"")</f>
        <v>0</v>
      </c>
      <c r="J121" s="102">
        <f>IFERROR(INDEX('I2015'!H$5:H$73,MATCH($C121,'I2015'!$A$5:$A$73,0)),"")</f>
        <v>0</v>
      </c>
      <c r="K121" s="102">
        <f>IFERROR(INDEX('I2015'!I$5:I$73,MATCH($C121,'I2015'!$A$5:$A$73,0)),"")</f>
        <v>797.13</v>
      </c>
      <c r="L121" s="102">
        <f>IFERROR(INDEX('I2015'!J$5:J$73,MATCH($C121,'I2015'!$A$5:$A$73,0)),"")</f>
        <v>1744.84</v>
      </c>
      <c r="M121" s="102">
        <f>IFERROR(INDEX('I2015'!K$5:K$73,MATCH($C121,'I2015'!$A$5:$A$73,0)),"")</f>
        <v>888.65</v>
      </c>
      <c r="N121" s="102">
        <f>IFERROR(INDEX('I2015'!L$5:L$73,MATCH($C121,'I2015'!$A$5:$A$73,0)),"")</f>
        <v>1733.57</v>
      </c>
      <c r="O121" s="102">
        <f>IFERROR(INDEX('I2015'!M$5:M$73,MATCH($C121,'I2015'!$A$5:$A$73,0)),"")</f>
        <v>2304.08</v>
      </c>
      <c r="P121" s="102">
        <f>IFERROR(INDEX('I2016'!B$5:B$90,MATCH($C121,'I2016'!$A$5:$A$90,0)),"")</f>
        <v>1238.8800000000001</v>
      </c>
      <c r="Q121" s="102">
        <f>IFERROR(INDEX('I2016'!C$5:C$90,MATCH($C121,'I2016'!$A$5:$A$90,0)),"")</f>
        <v>1326.31</v>
      </c>
      <c r="R121" s="102">
        <f>IFERROR(INDEX('I2016'!D$5:D$90,MATCH($C121,'I2016'!$A$5:$A$90,0)),"")</f>
        <v>2093.94</v>
      </c>
      <c r="S121" s="102">
        <f>IFERROR(INDEX('I2016'!E$5:E$90,MATCH($C121,'I2016'!$A$5:$A$90,0)),"")</f>
        <v>2039.5</v>
      </c>
      <c r="T121" s="102">
        <f>IFERROR(INDEX('I2016'!F$5:F$90,MATCH($C121,'I2016'!$A$5:$A$90,0)),"")</f>
        <v>2602.9899999999998</v>
      </c>
      <c r="U121" s="102">
        <f>IFERROR(INDEX('I2016'!G$5:G$90,MATCH($C121,'I2016'!$A$5:$A$90,0)),"")</f>
        <v>1753.67</v>
      </c>
      <c r="V121" s="102">
        <f>IFERROR(INDEX('I2016'!H$5:H$90,MATCH($C121,'I2016'!$A$5:$A$90,0)),"")</f>
        <v>1597.53</v>
      </c>
      <c r="W121" s="102">
        <f>IFERROR(INDEX('I2016'!I$5:I$90,MATCH($C121,'I2016'!$A$5:$A$90,0)),"")</f>
        <v>1420.84</v>
      </c>
      <c r="X121" s="102">
        <f>IFERROR(INDEX('I2016'!J$5:J$90,MATCH($C121,'I2016'!$A$5:$A$90,0)),"")</f>
        <v>1448.35</v>
      </c>
      <c r="Y121" s="102">
        <f>IFERROR(INDEX('I2016'!K$5:K$90,MATCH($C121,'I2016'!$A$5:$A$90,0)),"")</f>
        <v>2676.71</v>
      </c>
      <c r="Z121" s="102">
        <f>IFERROR(INDEX('I2016'!L$5:L$90,MATCH($C121,'I2016'!$A$5:$A$90,0)),"")</f>
        <v>1717.58</v>
      </c>
      <c r="AA121" s="102">
        <f>IFERROR(INDEX('I2016'!M$5:M$90,MATCH($C121,'I2016'!$A$5:$A$90,0)),"")</f>
        <v>1249.02</v>
      </c>
      <c r="AB121" s="102">
        <f>IFERROR(INDEX('I2017'!B$5:B$96,MATCH($C121,'I2017'!$A$5:$A$96,0)),"")</f>
        <v>2336.9</v>
      </c>
      <c r="AC121" s="102">
        <f>IFERROR(INDEX('I2017'!C$5:C$96,MATCH($C121,'I2017'!$A$5:$A$96,0)),"")</f>
        <v>3022.4</v>
      </c>
      <c r="AD121" s="102">
        <f>IFERROR(INDEX('I2017'!D$5:D$96,MATCH($C121,'I2017'!$A$5:$A$96,0)),"")</f>
        <v>3122.8</v>
      </c>
      <c r="AE121" s="102">
        <f>IFERROR(INDEX('I2017'!E$5:E$96,MATCH($C121,'I2017'!$A$5:$A$96,0)),"")</f>
        <v>4748.99</v>
      </c>
      <c r="AF121" s="102">
        <f>IFERROR(INDEX('I2017'!F$5:F$96,MATCH($C121,'I2017'!$A$5:$A$96,0)),"")</f>
        <v>3691.6</v>
      </c>
      <c r="AG121" s="102">
        <f>IFERROR(INDEX('I2017'!G$5:G$96,MATCH($C121,'I2017'!$A$5:$A$96,0)),"")</f>
        <v>3208.06</v>
      </c>
      <c r="AH121" s="102">
        <f>IFERROR(INDEX('I2017'!H$5:H$96,MATCH($C121,'I2017'!$A$5:$A$96,0)),"")</f>
        <v>3446.32</v>
      </c>
      <c r="AI121" s="102">
        <f>IFERROR(INDEX('I2017'!I$5:I$96,MATCH($C121,'I2017'!$A$5:$A$96,0)),"")</f>
        <v>3760.6</v>
      </c>
      <c r="AJ121" s="102">
        <f>IFERROR(INDEX('I2017'!J$5:J$96,MATCH($C121,'I2017'!$A$5:$A$96,0)),"")</f>
        <v>3670.92</v>
      </c>
      <c r="AK121" s="102">
        <f>IFERROR(INDEX('I2017'!K$5:K$96,MATCH($C121,'I2017'!$A$5:$A$96,0)),"")</f>
        <v>3911.52</v>
      </c>
      <c r="AL121" s="102">
        <f>IFERROR(INDEX('I2017'!L$5:L$96,MATCH($C121,'I2017'!$A$5:$A$96,0)),"")</f>
        <v>5950.42</v>
      </c>
      <c r="AM121" s="102">
        <f>IFERROR(INDEX('I2017'!M$5:M$96,MATCH($C121,'I2017'!$A$5:$A$96,0)),"")</f>
        <v>3860.08</v>
      </c>
      <c r="AN121" s="102">
        <f>IFERROR(INDEX('I2018'!B$5:B$107,MATCH($C121,'I2018'!$A$5:$A$107,0)),"")</f>
        <v>4499.6000000000004</v>
      </c>
      <c r="AO121" s="102">
        <f>IFERROR(INDEX('I2018'!C$5:C$107,MATCH($C121,'I2018'!$A$5:$A$107,0)),"")</f>
        <v>4528.68</v>
      </c>
      <c r="AP121" s="102">
        <f>IFERROR(INDEX('I2018'!D$5:D$107,MATCH($C121,'I2018'!$A$5:$A$107,0)),"")</f>
        <v>5566.52</v>
      </c>
      <c r="AQ121" s="102">
        <f>IFERROR(INDEX('I2018'!E$5:E$107,MATCH($C121,'I2018'!$A$5:$A$107,0)),"")</f>
        <v>6142.82</v>
      </c>
      <c r="AR121" s="102">
        <f>IFERROR(INDEX('I2018'!F$5:F$107,MATCH($C121,'I2018'!$A$5:$A$107,0)),"")</f>
        <v>7397.24</v>
      </c>
      <c r="AS121" s="102">
        <f>IFERROR(INDEX('I2018'!G$5:G$107,MATCH($C121,'I2018'!$A$5:$A$107,0)),"")</f>
        <v>30096.36</v>
      </c>
      <c r="AT121" s="102">
        <f>IFERROR(INDEX('I2018'!H$5:H$107,MATCH($C121,'I2018'!$A$5:$A$107,0)),"")</f>
        <v>25761.31</v>
      </c>
      <c r="AU121" s="102">
        <f>IFERROR(INDEX('I2018'!I$5:I$107,MATCH($C121,'I2018'!$A$5:$A$107,0)),"")</f>
        <v>34604.29</v>
      </c>
      <c r="AV121" s="102">
        <f>IFERROR(INDEX('I2018'!J$5:J$107,MATCH($C121,'I2018'!$A$5:$A$107,0)),"")</f>
        <v>14722.83</v>
      </c>
      <c r="AW121" s="102">
        <f>IFERROR(INDEX('I2018'!K$5:K$107,MATCH($C121,'I2018'!$A$5:$A$107,0)),"")</f>
        <v>16363.83</v>
      </c>
      <c r="AX121" s="102">
        <f>IFERROR(INDEX('I2018'!L$5:L$107,MATCH($C121,'I2018'!$A$5:$A$107,0)),"")</f>
        <v>21120.2</v>
      </c>
      <c r="AY121" s="102">
        <f>IFERROR(INDEX('I2018'!M$5:M$107,MATCH($C121,'I2018'!$A$5:$A$107,0)),"")</f>
        <v>15176.34</v>
      </c>
      <c r="AZ121" s="102">
        <f>IFERROR(INDEX('I2019'!B$5:B$112,MATCH($C121,'I2019'!$A$5:$A$112,0)),"")</f>
        <v>16432.310000000001</v>
      </c>
      <c r="BA121" s="102">
        <f>IFERROR(INDEX('I2019'!C$5:C$112,MATCH($C121,'I2019'!$A$5:$A$112,0)),"")</f>
        <v>18648.27</v>
      </c>
      <c r="BB121" s="102">
        <f>IFERROR(INDEX('I2019'!D$5:D$112,MATCH($C121,'I2019'!$A$5:$A$112,0)),"")</f>
        <v>19934.12</v>
      </c>
      <c r="BC121" s="102">
        <f>IFERROR(INDEX('I2019'!E$5:E$112,MATCH($C121,'I2019'!$A$5:$A$112,0)),"")</f>
        <v>25202.78</v>
      </c>
      <c r="BD121" s="102">
        <f>IFERROR(INDEX('I2019'!F$5:F$112,MATCH($C121,'I2019'!$A$5:$A$112,0)),"")</f>
        <v>32292.86</v>
      </c>
      <c r="BE121" s="102">
        <f>IFERROR(INDEX('I2019'!G$5:G$112,MATCH($C121,'I2019'!$A$5:$A$112,0)),"")</f>
        <v>26382.2</v>
      </c>
      <c r="BF121" s="102">
        <f>IFERROR(INDEX('I2019'!H$5:H$112,MATCH($C121,'I2019'!$A$5:$A$112,0)),"")</f>
        <v>27452.83</v>
      </c>
      <c r="BG121" s="102">
        <f>IFERROR(INDEX('I2019'!I$5:I$112,MATCH($C121,'I2019'!$A$5:$A$112,0)),"")</f>
        <v>28716.14</v>
      </c>
      <c r="BH121" s="102">
        <f>IFERROR(INDEX('I2019'!J$5:J$112,MATCH($C121,'I2019'!$A$5:$A$112,0)),"")</f>
        <v>24640.799999999999</v>
      </c>
      <c r="BI121" s="102">
        <f>IFERROR(INDEX('I2019'!K$5:K$112,MATCH($C121,'I2019'!$A$5:$A$112,0)),"")</f>
        <v>23203.78</v>
      </c>
      <c r="BJ121" s="102">
        <f>IFERROR(INDEX('I2019'!L$5:L$112,MATCH($C121,'I2019'!$A$5:$A$112,0)),"")</f>
        <v>31617.86</v>
      </c>
      <c r="BK121" s="102">
        <f>IFERROR(INDEX('I2019'!M$5:M$112,MATCH($C121,'I2019'!$A$5:$A$112,0)),"")</f>
        <v>8428.5499999999993</v>
      </c>
      <c r="BL121" s="102">
        <f>IFERROR(INDEX('I2020'!B$5:B$113,MATCH($C121,'I2020'!$A$5:$A$113,0)),"")</f>
        <v>18156.240000000002</v>
      </c>
      <c r="BM121" s="102">
        <f>IFERROR(INDEX('I2020'!C$5:C$113,MATCH($C121,'I2020'!$A$5:$A$113,0)),"")</f>
        <v>19526.61</v>
      </c>
      <c r="BN121" s="102">
        <f>IFERROR(INDEX('I2020'!D$5:D$113,MATCH($C121,'I2020'!$A$5:$A$113,0)),"")</f>
        <v>19306.689999999999</v>
      </c>
      <c r="BO121" s="102">
        <f>IFERROR(INDEX('I2020'!E$5:E$113,MATCH($C121,'I2020'!$A$5:$A$113,0)),"")</f>
        <v>16965.66</v>
      </c>
      <c r="BP121" s="102">
        <f>IFERROR(INDEX('I2020'!F$5:F$113,MATCH($C121,'I2020'!$A$5:$A$113,0)),"")</f>
        <v>27388.26</v>
      </c>
      <c r="BQ121" s="392">
        <f>IFERROR(INDEX('I2020'!G$5:G$113,MATCH($C121,'I2020'!$A$5:$A$113,0)),"")</f>
        <v>21209.21</v>
      </c>
      <c r="BR121" s="64">
        <f t="shared" si="96"/>
        <v>28350.289733872312</v>
      </c>
      <c r="BS121" s="64">
        <f t="shared" si="96"/>
        <v>28748.338637343357</v>
      </c>
      <c r="BT121" s="64">
        <f t="shared" si="96"/>
        <v>29430.864171134919</v>
      </c>
      <c r="BU121" s="64">
        <f t="shared" si="96"/>
        <v>30362.816193843784</v>
      </c>
      <c r="BV121" s="64">
        <f t="shared" si="96"/>
        <v>31517.46530342703</v>
      </c>
      <c r="BW121" s="64">
        <f t="shared" si="96"/>
        <v>32874.817331994738</v>
      </c>
      <c r="BX121" s="64">
        <f t="shared" si="96"/>
        <v>34075.611631187719</v>
      </c>
      <c r="BY121" s="64">
        <f t="shared" si="96"/>
        <v>35152.883437025965</v>
      </c>
      <c r="BZ121" s="64">
        <f t="shared" si="96"/>
        <v>36133.086793677707</v>
      </c>
      <c r="CA121" s="64">
        <f t="shared" si="96"/>
        <v>37037.411179659946</v>
      </c>
      <c r="CB121" s="64">
        <f t="shared" si="96"/>
        <v>37882.834814616515</v>
      </c>
      <c r="CC121" s="64">
        <f t="shared" si="96"/>
        <v>38682.967310645086</v>
      </c>
      <c r="CD121" s="64">
        <f t="shared" si="96"/>
        <v>39448.723799352229</v>
      </c>
      <c r="CE121" s="64">
        <f t="shared" si="96"/>
        <v>40188.864239580478</v>
      </c>
      <c r="CF121" s="64">
        <f t="shared" si="96"/>
        <v>40910.424869764567</v>
      </c>
      <c r="CG121" s="64">
        <f t="shared" si="96"/>
        <v>41619.06337608333</v>
      </c>
      <c r="CH121" s="64">
        <f t="shared" si="96"/>
        <v>42319.33503334241</v>
      </c>
      <c r="CI121" s="124">
        <f t="shared" si="96"/>
        <v>43014.913624136825</v>
      </c>
      <c r="CJ121" s="134"/>
    </row>
    <row r="122" spans="1:88" x14ac:dyDescent="0.3">
      <c r="A122" s="33"/>
      <c r="B122" s="68"/>
      <c r="C122" s="21" t="s">
        <v>87</v>
      </c>
      <c r="D122" s="102">
        <f>IFERROR(INDEX('I2015'!B$5:B$73,MATCH($C122,'I2015'!$A$5:$A$73,0)),"")</f>
        <v>3858.82</v>
      </c>
      <c r="E122" s="102">
        <f>IFERROR(INDEX('I2015'!C$5:C$73,MATCH($C122,'I2015'!$A$5:$A$73,0)),"")</f>
        <v>5618.32</v>
      </c>
      <c r="F122" s="102">
        <f>IFERROR(INDEX('I2015'!D$5:D$73,MATCH($C122,'I2015'!$A$5:$A$73,0)),"")</f>
        <v>6891.21</v>
      </c>
      <c r="G122" s="102">
        <f>IFERROR(INDEX('I2015'!E$5:E$73,MATCH($C122,'I2015'!$A$5:$A$73,0)),"")</f>
        <v>0</v>
      </c>
      <c r="H122" s="102">
        <f>IFERROR(INDEX('I2015'!F$5:F$73,MATCH($C122,'I2015'!$A$5:$A$73,0)),"")</f>
        <v>0</v>
      </c>
      <c r="I122" s="102">
        <f>IFERROR(INDEX('I2015'!G$5:G$73,MATCH($C122,'I2015'!$A$5:$A$73,0)),"")</f>
        <v>0</v>
      </c>
      <c r="J122" s="102">
        <f>IFERROR(INDEX('I2015'!H$5:H$73,MATCH($C122,'I2015'!$A$5:$A$73,0)),"")</f>
        <v>0</v>
      </c>
      <c r="K122" s="102">
        <f>IFERROR(INDEX('I2015'!I$5:I$73,MATCH($C122,'I2015'!$A$5:$A$73,0)),"")</f>
        <v>0</v>
      </c>
      <c r="L122" s="102">
        <f>IFERROR(INDEX('I2015'!J$5:J$73,MATCH($C122,'I2015'!$A$5:$A$73,0)),"")</f>
        <v>0</v>
      </c>
      <c r="M122" s="102">
        <f>IFERROR(INDEX('I2015'!K$5:K$73,MATCH($C122,'I2015'!$A$5:$A$73,0)),"")</f>
        <v>0</v>
      </c>
      <c r="N122" s="102">
        <f>IFERROR(INDEX('I2015'!L$5:L$73,MATCH($C122,'I2015'!$A$5:$A$73,0)),"")</f>
        <v>3459.59</v>
      </c>
      <c r="O122" s="102">
        <f>IFERROR(INDEX('I2015'!M$5:M$73,MATCH($C122,'I2015'!$A$5:$A$73,0)),"")</f>
        <v>9931.41</v>
      </c>
      <c r="P122" s="102">
        <f>IFERROR(INDEX('I2016'!B$5:B$90,MATCH($C122,'I2016'!$A$5:$A$90,0)),"")</f>
        <v>0</v>
      </c>
      <c r="Q122" s="102">
        <f>IFERROR(INDEX('I2016'!C$5:C$90,MATCH($C122,'I2016'!$A$5:$A$90,0)),"")</f>
        <v>0</v>
      </c>
      <c r="R122" s="102">
        <f>IFERROR(INDEX('I2016'!D$5:D$90,MATCH($C122,'I2016'!$A$5:$A$90,0)),"")</f>
        <v>0</v>
      </c>
      <c r="S122" s="102">
        <f>IFERROR(INDEX('I2016'!E$5:E$90,MATCH($C122,'I2016'!$A$5:$A$90,0)),"")</f>
        <v>0</v>
      </c>
      <c r="T122" s="102">
        <f>IFERROR(INDEX('I2016'!F$5:F$90,MATCH($C122,'I2016'!$A$5:$A$90,0)),"")</f>
        <v>0</v>
      </c>
      <c r="U122" s="102">
        <f>IFERROR(INDEX('I2016'!G$5:G$90,MATCH($C122,'I2016'!$A$5:$A$90,0)),"")</f>
        <v>0</v>
      </c>
      <c r="V122" s="102">
        <f>IFERROR(INDEX('I2016'!H$5:H$90,MATCH($C122,'I2016'!$A$5:$A$90,0)),"")</f>
        <v>0</v>
      </c>
      <c r="W122" s="102">
        <f>IFERROR(INDEX('I2016'!I$5:I$90,MATCH($C122,'I2016'!$A$5:$A$90,0)),"")</f>
        <v>0</v>
      </c>
      <c r="X122" s="102">
        <f>IFERROR(INDEX('I2016'!J$5:J$90,MATCH($C122,'I2016'!$A$5:$A$90,0)),"")</f>
        <v>0</v>
      </c>
      <c r="Y122" s="102">
        <f>IFERROR(INDEX('I2016'!K$5:K$90,MATCH($C122,'I2016'!$A$5:$A$90,0)),"")</f>
        <v>0</v>
      </c>
      <c r="Z122" s="102">
        <f>IFERROR(INDEX('I2016'!L$5:L$90,MATCH($C122,'I2016'!$A$5:$A$90,0)),"")</f>
        <v>0</v>
      </c>
      <c r="AA122" s="102">
        <f>IFERROR(INDEX('I2016'!M$5:M$90,MATCH($C122,'I2016'!$A$5:$A$90,0)),"")</f>
        <v>0</v>
      </c>
      <c r="AB122" s="102">
        <f>IFERROR(INDEX('I2017'!B$5:B$96,MATCH($C122,'I2017'!$A$5:$A$96,0)),"")</f>
        <v>0</v>
      </c>
      <c r="AC122" s="102">
        <f>IFERROR(INDEX('I2017'!C$5:C$96,MATCH($C122,'I2017'!$A$5:$A$96,0)),"")</f>
        <v>0</v>
      </c>
      <c r="AD122" s="102">
        <f>IFERROR(INDEX('I2017'!D$5:D$96,MATCH($C122,'I2017'!$A$5:$A$96,0)),"")</f>
        <v>0</v>
      </c>
      <c r="AE122" s="102">
        <f>IFERROR(INDEX('I2017'!E$5:E$96,MATCH($C122,'I2017'!$A$5:$A$96,0)),"")</f>
        <v>0</v>
      </c>
      <c r="AF122" s="102">
        <f>IFERROR(INDEX('I2017'!F$5:F$96,MATCH($C122,'I2017'!$A$5:$A$96,0)),"")</f>
        <v>0</v>
      </c>
      <c r="AG122" s="102">
        <f>IFERROR(INDEX('I2017'!G$5:G$96,MATCH($C122,'I2017'!$A$5:$A$96,0)),"")</f>
        <v>0</v>
      </c>
      <c r="AH122" s="102">
        <f>IFERROR(INDEX('I2017'!H$5:H$96,MATCH($C122,'I2017'!$A$5:$A$96,0)),"")</f>
        <v>0</v>
      </c>
      <c r="AI122" s="102">
        <f>IFERROR(INDEX('I2017'!I$5:I$96,MATCH($C122,'I2017'!$A$5:$A$96,0)),"")</f>
        <v>0</v>
      </c>
      <c r="AJ122" s="102">
        <f>IFERROR(INDEX('I2017'!J$5:J$96,MATCH($C122,'I2017'!$A$5:$A$96,0)),"")</f>
        <v>0</v>
      </c>
      <c r="AK122" s="102">
        <f>IFERROR(INDEX('I2017'!K$5:K$96,MATCH($C122,'I2017'!$A$5:$A$96,0)),"")</f>
        <v>0</v>
      </c>
      <c r="AL122" s="102">
        <f>IFERROR(INDEX('I2017'!L$5:L$96,MATCH($C122,'I2017'!$A$5:$A$96,0)),"")</f>
        <v>0</v>
      </c>
      <c r="AM122" s="102">
        <f>IFERROR(INDEX('I2017'!M$5:M$96,MATCH($C122,'I2017'!$A$5:$A$96,0)),"")</f>
        <v>0</v>
      </c>
      <c r="AN122" s="102">
        <f>IFERROR(INDEX('I2018'!B$5:B$107,MATCH($C122,'I2018'!$A$5:$A$107,0)),"")</f>
        <v>0</v>
      </c>
      <c r="AO122" s="102">
        <f>IFERROR(INDEX('I2018'!C$5:C$107,MATCH($C122,'I2018'!$A$5:$A$107,0)),"")</f>
        <v>0</v>
      </c>
      <c r="AP122" s="102">
        <f>IFERROR(INDEX('I2018'!D$5:D$107,MATCH($C122,'I2018'!$A$5:$A$107,0)),"")</f>
        <v>0</v>
      </c>
      <c r="AQ122" s="102">
        <f>IFERROR(INDEX('I2018'!E$5:E$107,MATCH($C122,'I2018'!$A$5:$A$107,0)),"")</f>
        <v>0</v>
      </c>
      <c r="AR122" s="102">
        <f>IFERROR(INDEX('I2018'!F$5:F$107,MATCH($C122,'I2018'!$A$5:$A$107,0)),"")</f>
        <v>0</v>
      </c>
      <c r="AS122" s="102">
        <f>IFERROR(INDEX('I2018'!G$5:G$107,MATCH($C122,'I2018'!$A$5:$A$107,0)),"")</f>
        <v>0</v>
      </c>
      <c r="AT122" s="102">
        <f>IFERROR(INDEX('I2018'!H$5:H$107,MATCH($C122,'I2018'!$A$5:$A$107,0)),"")</f>
        <v>0</v>
      </c>
      <c r="AU122" s="102">
        <f>IFERROR(INDEX('I2018'!I$5:I$107,MATCH($C122,'I2018'!$A$5:$A$107,0)),"")</f>
        <v>0</v>
      </c>
      <c r="AV122" s="102">
        <f>IFERROR(INDEX('I2018'!J$5:J$107,MATCH($C122,'I2018'!$A$5:$A$107,0)),"")</f>
        <v>0</v>
      </c>
      <c r="AW122" s="102">
        <f>IFERROR(INDEX('I2018'!K$5:K$107,MATCH($C122,'I2018'!$A$5:$A$107,0)),"")</f>
        <v>0</v>
      </c>
      <c r="AX122" s="102">
        <f>IFERROR(INDEX('I2018'!L$5:L$107,MATCH($C122,'I2018'!$A$5:$A$107,0)),"")</f>
        <v>0</v>
      </c>
      <c r="AY122" s="102">
        <f>IFERROR(INDEX('I2018'!M$5:M$107,MATCH($C122,'I2018'!$A$5:$A$107,0)),"")</f>
        <v>0</v>
      </c>
      <c r="AZ122" s="102">
        <f>IFERROR(INDEX('I2019'!B$5:B$112,MATCH($C122,'I2019'!$A$5:$A$112,0)),"")</f>
        <v>0</v>
      </c>
      <c r="BA122" s="102">
        <f>IFERROR(INDEX('I2019'!C$5:C$112,MATCH($C122,'I2019'!$A$5:$A$112,0)),"")</f>
        <v>0</v>
      </c>
      <c r="BB122" s="102">
        <f>IFERROR(INDEX('I2019'!D$5:D$112,MATCH($C122,'I2019'!$A$5:$A$112,0)),"")</f>
        <v>0</v>
      </c>
      <c r="BC122" s="102">
        <f>IFERROR(INDEX('I2019'!E$5:E$112,MATCH($C122,'I2019'!$A$5:$A$112,0)),"")</f>
        <v>0</v>
      </c>
      <c r="BD122" s="102">
        <f>IFERROR(INDEX('I2019'!F$5:F$112,MATCH($C122,'I2019'!$A$5:$A$112,0)),"")</f>
        <v>0</v>
      </c>
      <c r="BE122" s="102">
        <f>IFERROR(INDEX('I2019'!G$5:G$112,MATCH($C122,'I2019'!$A$5:$A$112,0)),"")</f>
        <v>0</v>
      </c>
      <c r="BF122" s="102">
        <f>IFERROR(INDEX('I2019'!H$5:H$112,MATCH($C122,'I2019'!$A$5:$A$112,0)),"")</f>
        <v>0</v>
      </c>
      <c r="BG122" s="102">
        <f>IFERROR(INDEX('I2019'!I$5:I$112,MATCH($C122,'I2019'!$A$5:$A$112,0)),"")</f>
        <v>0</v>
      </c>
      <c r="BH122" s="102">
        <f>IFERROR(INDEX('I2019'!J$5:J$112,MATCH($C122,'I2019'!$A$5:$A$112,0)),"")</f>
        <v>0</v>
      </c>
      <c r="BI122" s="102">
        <f>IFERROR(INDEX('I2019'!K$5:K$112,MATCH($C122,'I2019'!$A$5:$A$112,0)),"")</f>
        <v>0</v>
      </c>
      <c r="BJ122" s="102">
        <f>IFERROR(INDEX('I2019'!L$5:L$112,MATCH($C122,'I2019'!$A$5:$A$112,0)),"")</f>
        <v>0</v>
      </c>
      <c r="BK122" s="102">
        <f>IFERROR(INDEX('I2019'!M$5:M$112,MATCH($C122,'I2019'!$A$5:$A$112,0)),"")</f>
        <v>0</v>
      </c>
      <c r="BL122" s="102">
        <f>IFERROR(INDEX('I2020'!B$5:B$113,MATCH($C122,'I2020'!$A$5:$A$113,0)),"")</f>
        <v>0</v>
      </c>
      <c r="BM122" s="102">
        <f>IFERROR(INDEX('I2020'!C$5:C$113,MATCH($C122,'I2020'!$A$5:$A$113,0)),"")</f>
        <v>0</v>
      </c>
      <c r="BN122" s="102">
        <f>IFERROR(INDEX('I2020'!D$5:D$113,MATCH($C122,'I2020'!$A$5:$A$113,0)),"")</f>
        <v>0</v>
      </c>
      <c r="BO122" s="102">
        <f>IFERROR(INDEX('I2020'!E$5:E$113,MATCH($C122,'I2020'!$A$5:$A$113,0)),"")</f>
        <v>115840.12</v>
      </c>
      <c r="BP122" s="102">
        <f>IFERROR(INDEX('I2020'!F$5:F$113,MATCH($C122,'I2020'!$A$5:$A$113,0)),"")</f>
        <v>0</v>
      </c>
      <c r="BQ122" s="392">
        <f>IFERROR(INDEX('I2020'!G$5:G$113,MATCH($C122,'I2020'!$A$5:$A$113,0)),"")</f>
        <v>0</v>
      </c>
      <c r="BR122" s="64"/>
      <c r="BS122" s="64"/>
      <c r="BT122" s="64"/>
      <c r="BU122" s="64"/>
      <c r="BV122" s="64"/>
      <c r="BW122" s="64"/>
      <c r="BX122" s="64"/>
      <c r="BY122" s="64"/>
      <c r="BZ122" s="64"/>
      <c r="CA122" s="64"/>
      <c r="CB122" s="64"/>
      <c r="CC122" s="64"/>
      <c r="CD122" s="64"/>
      <c r="CE122" s="64"/>
      <c r="CF122" s="64"/>
      <c r="CG122" s="64"/>
      <c r="CH122" s="64"/>
      <c r="CI122" s="124"/>
      <c r="CJ122" s="134"/>
    </row>
    <row r="123" spans="1:88" x14ac:dyDescent="0.3">
      <c r="A123" s="33"/>
      <c r="B123" s="68"/>
      <c r="C123" s="21" t="s">
        <v>88</v>
      </c>
      <c r="D123" s="102" t="str">
        <f>IFERROR(INDEX('I2015'!B$5:B$73,MATCH($C123,'I2015'!$A$5:$A$73,0)),"")</f>
        <v/>
      </c>
      <c r="E123" s="102" t="str">
        <f>IFERROR(INDEX('I2015'!C$5:C$73,MATCH($C123,'I2015'!$A$5:$A$73,0)),"")</f>
        <v/>
      </c>
      <c r="F123" s="102" t="str">
        <f>IFERROR(INDEX('I2015'!D$5:D$73,MATCH($C123,'I2015'!$A$5:$A$73,0)),"")</f>
        <v/>
      </c>
      <c r="G123" s="102" t="str">
        <f>IFERROR(INDEX('I2015'!E$5:E$73,MATCH($C123,'I2015'!$A$5:$A$73,0)),"")</f>
        <v/>
      </c>
      <c r="H123" s="102" t="str">
        <f>IFERROR(INDEX('I2015'!F$5:F$73,MATCH($C123,'I2015'!$A$5:$A$73,0)),"")</f>
        <v/>
      </c>
      <c r="I123" s="102" t="str">
        <f>IFERROR(INDEX('I2015'!G$5:G$73,MATCH($C123,'I2015'!$A$5:$A$73,0)),"")</f>
        <v/>
      </c>
      <c r="J123" s="102" t="str">
        <f>IFERROR(INDEX('I2015'!H$5:H$73,MATCH($C123,'I2015'!$A$5:$A$73,0)),"")</f>
        <v/>
      </c>
      <c r="K123" s="102" t="str">
        <f>IFERROR(INDEX('I2015'!I$5:I$73,MATCH($C123,'I2015'!$A$5:$A$73,0)),"")</f>
        <v/>
      </c>
      <c r="L123" s="102" t="str">
        <f>IFERROR(INDEX('I2015'!J$5:J$73,MATCH($C123,'I2015'!$A$5:$A$73,0)),"")</f>
        <v/>
      </c>
      <c r="M123" s="102" t="str">
        <f>IFERROR(INDEX('I2015'!K$5:K$73,MATCH($C123,'I2015'!$A$5:$A$73,0)),"")</f>
        <v/>
      </c>
      <c r="N123" s="102" t="str">
        <f>IFERROR(INDEX('I2015'!L$5:L$73,MATCH($C123,'I2015'!$A$5:$A$73,0)),"")</f>
        <v/>
      </c>
      <c r="O123" s="102" t="str">
        <f>IFERROR(INDEX('I2015'!M$5:M$73,MATCH($C123,'I2015'!$A$5:$A$73,0)),"")</f>
        <v/>
      </c>
      <c r="P123" s="102">
        <f>IFERROR(INDEX('I2016'!B$5:B$90,MATCH($C123,'I2016'!$A$5:$A$90,0)),"")</f>
        <v>8744.33</v>
      </c>
      <c r="Q123" s="102">
        <f>IFERROR(INDEX('I2016'!C$5:C$90,MATCH($C123,'I2016'!$A$5:$A$90,0)),"")</f>
        <v>6524.78</v>
      </c>
      <c r="R123" s="102">
        <f>IFERROR(INDEX('I2016'!D$5:D$90,MATCH($C123,'I2016'!$A$5:$A$90,0)),"")</f>
        <v>8284.6299999999992</v>
      </c>
      <c r="S123" s="102">
        <f>IFERROR(INDEX('I2016'!E$5:E$90,MATCH($C123,'I2016'!$A$5:$A$90,0)),"")</f>
        <v>9269.24</v>
      </c>
      <c r="T123" s="102">
        <f>IFERROR(INDEX('I2016'!F$5:F$90,MATCH($C123,'I2016'!$A$5:$A$90,0)),"")</f>
        <v>14153.86</v>
      </c>
      <c r="U123" s="102">
        <f>IFERROR(INDEX('I2016'!G$5:G$90,MATCH($C123,'I2016'!$A$5:$A$90,0)),"")</f>
        <v>9519.24</v>
      </c>
      <c r="V123" s="102">
        <f>IFERROR(INDEX('I2016'!H$5:H$90,MATCH($C123,'I2016'!$A$5:$A$90,0)),"")</f>
        <v>9519.24</v>
      </c>
      <c r="W123" s="102">
        <f>IFERROR(INDEX('I2016'!I$5:I$90,MATCH($C123,'I2016'!$A$5:$A$90,0)),"")</f>
        <v>9057.7000000000007</v>
      </c>
      <c r="X123" s="102">
        <f>IFERROR(INDEX('I2016'!J$5:J$90,MATCH($C123,'I2016'!$A$5:$A$90,0)),"")</f>
        <v>10073.450000000001</v>
      </c>
      <c r="Y123" s="102">
        <f>IFERROR(INDEX('I2016'!K$5:K$90,MATCH($C123,'I2016'!$A$5:$A$90,0)),"")</f>
        <v>16746.900000000001</v>
      </c>
      <c r="Z123" s="102">
        <f>IFERROR(INDEX('I2016'!L$5:L$90,MATCH($C123,'I2016'!$A$5:$A$90,0)),"")</f>
        <v>9814.82</v>
      </c>
      <c r="AA123" s="102">
        <f>IFERROR(INDEX('I2016'!M$5:M$90,MATCH($C123,'I2016'!$A$5:$A$90,0)),"")</f>
        <v>11367.7</v>
      </c>
      <c r="AB123" s="102">
        <f>IFERROR(INDEX('I2017'!B$5:B$96,MATCH($C123,'I2017'!$A$5:$A$96,0)),"")</f>
        <v>9519.24</v>
      </c>
      <c r="AC123" s="102">
        <f>IFERROR(INDEX('I2017'!C$5:C$96,MATCH($C123,'I2017'!$A$5:$A$96,0)),"")</f>
        <v>12596.16</v>
      </c>
      <c r="AD123" s="102">
        <f>IFERROR(INDEX('I2017'!D$5:D$96,MATCH($C123,'I2017'!$A$5:$A$96,0)),"")</f>
        <v>14996.16</v>
      </c>
      <c r="AE123" s="102">
        <f>IFERROR(INDEX('I2017'!E$5:E$96,MATCH($C123,'I2017'!$A$5:$A$96,0)),"")</f>
        <v>22061.74</v>
      </c>
      <c r="AF123" s="102">
        <f>IFERROR(INDEX('I2017'!F$5:F$96,MATCH($C123,'I2017'!$A$5:$A$96,0)),"")</f>
        <v>14448.66</v>
      </c>
      <c r="AG123" s="102">
        <f>IFERROR(INDEX('I2017'!G$5:G$96,MATCH($C123,'I2017'!$A$5:$A$96,0)),"")</f>
        <v>16281.74</v>
      </c>
      <c r="AH123" s="102">
        <f>IFERROR(INDEX('I2017'!H$5:H$96,MATCH($C123,'I2017'!$A$5:$A$96,0)),"")</f>
        <v>18824.27</v>
      </c>
      <c r="AI123" s="102">
        <f>IFERROR(INDEX('I2017'!I$5:I$96,MATCH($C123,'I2017'!$A$5:$A$96,0)),"")</f>
        <v>18092.32</v>
      </c>
      <c r="AJ123" s="102">
        <f>IFERROR(INDEX('I2017'!J$5:J$96,MATCH($C123,'I2017'!$A$5:$A$96,0)),"")</f>
        <v>18092.32</v>
      </c>
      <c r="AK123" s="102">
        <f>IFERROR(INDEX('I2017'!K$5:K$96,MATCH($C123,'I2017'!$A$5:$A$96,0)),"")</f>
        <v>18062.32</v>
      </c>
      <c r="AL123" s="102">
        <f>IFERROR(INDEX('I2017'!L$5:L$96,MATCH($C123,'I2017'!$A$5:$A$96,0)),"")</f>
        <v>26065.48</v>
      </c>
      <c r="AM123" s="102">
        <f>IFERROR(INDEX('I2017'!M$5:M$96,MATCH($C123,'I2017'!$A$5:$A$96,0)),"")</f>
        <v>15692.32</v>
      </c>
      <c r="AN123" s="102">
        <f>IFERROR(INDEX('I2018'!B$5:B$107,MATCH($C123,'I2018'!$A$5:$A$107,0)),"")</f>
        <v>15692.32</v>
      </c>
      <c r="AO123" s="102">
        <f>IFERROR(INDEX('I2018'!C$5:C$107,MATCH($C123,'I2018'!$A$5:$A$107,0)),"")</f>
        <v>15692.32</v>
      </c>
      <c r="AP123" s="102">
        <f>IFERROR(INDEX('I2018'!D$5:D$107,MATCH($C123,'I2018'!$A$5:$A$107,0)),"")</f>
        <v>15772.32</v>
      </c>
      <c r="AQ123" s="102">
        <f>IFERROR(INDEX('I2018'!E$5:E$107,MATCH($C123,'I2018'!$A$5:$A$107,0)),"")</f>
        <v>15692.32</v>
      </c>
      <c r="AR123" s="102">
        <f>IFERROR(INDEX('I2018'!F$5:F$107,MATCH($C123,'I2018'!$A$5:$A$107,0)),"")</f>
        <v>15670.68</v>
      </c>
      <c r="AS123" s="102">
        <f>IFERROR(INDEX('I2018'!G$5:G$107,MATCH($C123,'I2018'!$A$5:$A$107,0)),"")</f>
        <v>25665.09</v>
      </c>
      <c r="AT123" s="102">
        <f>IFERROR(INDEX('I2018'!H$5:H$107,MATCH($C123,'I2018'!$A$5:$A$107,0)),"")</f>
        <v>0</v>
      </c>
      <c r="AU123" s="102">
        <f>IFERROR(INDEX('I2018'!I$5:I$107,MATCH($C123,'I2018'!$A$5:$A$107,0)),"")</f>
        <v>0</v>
      </c>
      <c r="AV123" s="102">
        <f>IFERROR(INDEX('I2018'!J$5:J$107,MATCH($C123,'I2018'!$A$5:$A$107,0)),"")</f>
        <v>0</v>
      </c>
      <c r="AW123" s="102">
        <f>IFERROR(INDEX('I2018'!K$5:K$107,MATCH($C123,'I2018'!$A$5:$A$107,0)),"")</f>
        <v>0</v>
      </c>
      <c r="AX123" s="102">
        <f>IFERROR(INDEX('I2018'!L$5:L$107,MATCH($C123,'I2018'!$A$5:$A$107,0)),"")</f>
        <v>0</v>
      </c>
      <c r="AY123" s="102">
        <f>IFERROR(INDEX('I2018'!M$5:M$107,MATCH($C123,'I2018'!$A$5:$A$107,0)),"")</f>
        <v>0</v>
      </c>
      <c r="AZ123" s="102">
        <f>IFERROR(INDEX('I2019'!B$5:B$112,MATCH($C123,'I2019'!$A$5:$A$112,0)),"")</f>
        <v>0</v>
      </c>
      <c r="BA123" s="102">
        <f>IFERROR(INDEX('I2019'!C$5:C$112,MATCH($C123,'I2019'!$A$5:$A$112,0)),"")</f>
        <v>0</v>
      </c>
      <c r="BB123" s="102">
        <f>IFERROR(INDEX('I2019'!D$5:D$112,MATCH($C123,'I2019'!$A$5:$A$112,0)),"")</f>
        <v>0</v>
      </c>
      <c r="BC123" s="102">
        <f>IFERROR(INDEX('I2019'!E$5:E$112,MATCH($C123,'I2019'!$A$5:$A$112,0)),"")</f>
        <v>0</v>
      </c>
      <c r="BD123" s="102">
        <f>IFERROR(INDEX('I2019'!F$5:F$112,MATCH($C123,'I2019'!$A$5:$A$112,0)),"")</f>
        <v>0</v>
      </c>
      <c r="BE123" s="102">
        <f>IFERROR(INDEX('I2019'!G$5:G$112,MATCH($C123,'I2019'!$A$5:$A$112,0)),"")</f>
        <v>0</v>
      </c>
      <c r="BF123" s="102">
        <f>IFERROR(INDEX('I2019'!H$5:H$112,MATCH($C123,'I2019'!$A$5:$A$112,0)),"")</f>
        <v>0</v>
      </c>
      <c r="BG123" s="102">
        <f>IFERROR(INDEX('I2019'!I$5:I$112,MATCH($C123,'I2019'!$A$5:$A$112,0)),"")</f>
        <v>0</v>
      </c>
      <c r="BH123" s="102">
        <f>IFERROR(INDEX('I2019'!J$5:J$112,MATCH($C123,'I2019'!$A$5:$A$112,0)),"")</f>
        <v>0</v>
      </c>
      <c r="BI123" s="102">
        <f>IFERROR(INDEX('I2019'!K$5:K$112,MATCH($C123,'I2019'!$A$5:$A$112,0)),"")</f>
        <v>0</v>
      </c>
      <c r="BJ123" s="102">
        <f>IFERROR(INDEX('I2019'!L$5:L$112,MATCH($C123,'I2019'!$A$5:$A$112,0)),"")</f>
        <v>0</v>
      </c>
      <c r="BK123" s="102">
        <f>IFERROR(INDEX('I2019'!M$5:M$112,MATCH($C123,'I2019'!$A$5:$A$112,0)),"")</f>
        <v>0</v>
      </c>
      <c r="BL123" s="102">
        <f>IFERROR(INDEX('I2020'!B$5:B$113,MATCH($C123,'I2020'!$A$5:$A$113,0)),"")</f>
        <v>0</v>
      </c>
      <c r="BM123" s="102">
        <f>IFERROR(INDEX('I2020'!C$5:C$113,MATCH($C123,'I2020'!$A$5:$A$113,0)),"")</f>
        <v>0</v>
      </c>
      <c r="BN123" s="102">
        <f>IFERROR(INDEX('I2020'!D$5:D$113,MATCH($C123,'I2020'!$A$5:$A$113,0)),"")</f>
        <v>0</v>
      </c>
      <c r="BO123" s="102">
        <f>IFERROR(INDEX('I2020'!E$5:E$113,MATCH($C123,'I2020'!$A$5:$A$113,0)),"")</f>
        <v>0</v>
      </c>
      <c r="BP123" s="102">
        <f>IFERROR(INDEX('I2020'!F$5:F$113,MATCH($C123,'I2020'!$A$5:$A$113,0)),"")</f>
        <v>0</v>
      </c>
      <c r="BQ123" s="392">
        <f>IFERROR(INDEX('I2020'!G$5:G$113,MATCH($C123,'I2020'!$A$5:$A$113,0)),"")</f>
        <v>0</v>
      </c>
      <c r="BR123" s="64"/>
      <c r="BS123" s="64"/>
      <c r="BT123" s="64"/>
      <c r="BU123" s="64"/>
      <c r="BV123" s="64"/>
      <c r="BW123" s="64"/>
      <c r="BX123" s="64"/>
      <c r="BY123" s="64"/>
      <c r="BZ123" s="64"/>
      <c r="CA123" s="64"/>
      <c r="CB123" s="64"/>
      <c r="CC123" s="64"/>
      <c r="CD123" s="64"/>
      <c r="CE123" s="64"/>
      <c r="CF123" s="64"/>
      <c r="CG123" s="64"/>
      <c r="CH123" s="64"/>
      <c r="CI123" s="124"/>
      <c r="CJ123" s="134"/>
    </row>
    <row r="124" spans="1:88" x14ac:dyDescent="0.3">
      <c r="A124" s="33"/>
      <c r="B124" s="68"/>
      <c r="C124" s="21" t="s">
        <v>89</v>
      </c>
      <c r="D124" s="102" t="str">
        <f>IFERROR(INDEX('I2015'!B$5:B$73,MATCH($C124,'I2015'!$A$5:$A$73,0)),"")</f>
        <v/>
      </c>
      <c r="E124" s="102" t="str">
        <f>IFERROR(INDEX('I2015'!C$5:C$73,MATCH($C124,'I2015'!$A$5:$A$73,0)),"")</f>
        <v/>
      </c>
      <c r="F124" s="102" t="str">
        <f>IFERROR(INDEX('I2015'!D$5:D$73,MATCH($C124,'I2015'!$A$5:$A$73,0)),"")</f>
        <v/>
      </c>
      <c r="G124" s="102" t="str">
        <f>IFERROR(INDEX('I2015'!E$5:E$73,MATCH($C124,'I2015'!$A$5:$A$73,0)),"")</f>
        <v/>
      </c>
      <c r="H124" s="102" t="str">
        <f>IFERROR(INDEX('I2015'!F$5:F$73,MATCH($C124,'I2015'!$A$5:$A$73,0)),"")</f>
        <v/>
      </c>
      <c r="I124" s="102" t="str">
        <f>IFERROR(INDEX('I2015'!G$5:G$73,MATCH($C124,'I2015'!$A$5:$A$73,0)),"")</f>
        <v/>
      </c>
      <c r="J124" s="102" t="str">
        <f>IFERROR(INDEX('I2015'!H$5:H$73,MATCH($C124,'I2015'!$A$5:$A$73,0)),"")</f>
        <v/>
      </c>
      <c r="K124" s="102" t="str">
        <f>IFERROR(INDEX('I2015'!I$5:I$73,MATCH($C124,'I2015'!$A$5:$A$73,0)),"")</f>
        <v/>
      </c>
      <c r="L124" s="102" t="str">
        <f>IFERROR(INDEX('I2015'!J$5:J$73,MATCH($C124,'I2015'!$A$5:$A$73,0)),"")</f>
        <v/>
      </c>
      <c r="M124" s="102" t="str">
        <f>IFERROR(INDEX('I2015'!K$5:K$73,MATCH($C124,'I2015'!$A$5:$A$73,0)),"")</f>
        <v/>
      </c>
      <c r="N124" s="102" t="str">
        <f>IFERROR(INDEX('I2015'!L$5:L$73,MATCH($C124,'I2015'!$A$5:$A$73,0)),"")</f>
        <v/>
      </c>
      <c r="O124" s="102" t="str">
        <f>IFERROR(INDEX('I2015'!M$5:M$73,MATCH($C124,'I2015'!$A$5:$A$73,0)),"")</f>
        <v/>
      </c>
      <c r="P124" s="102">
        <f>IFERROR(INDEX('I2016'!B$5:B$90,MATCH($C124,'I2016'!$A$5:$A$90,0)),"")</f>
        <v>17.579999999999998</v>
      </c>
      <c r="Q124" s="102">
        <f>IFERROR(INDEX('I2016'!C$5:C$90,MATCH($C124,'I2016'!$A$5:$A$90,0)),"")</f>
        <v>0</v>
      </c>
      <c r="R124" s="102">
        <f>IFERROR(INDEX('I2016'!D$5:D$90,MATCH($C124,'I2016'!$A$5:$A$90,0)),"")</f>
        <v>150</v>
      </c>
      <c r="S124" s="102">
        <f>IFERROR(INDEX('I2016'!E$5:E$90,MATCH($C124,'I2016'!$A$5:$A$90,0)),"")</f>
        <v>4703.78</v>
      </c>
      <c r="T124" s="102">
        <f>IFERROR(INDEX('I2016'!F$5:F$90,MATCH($C124,'I2016'!$A$5:$A$90,0)),"")</f>
        <v>1238.44</v>
      </c>
      <c r="U124" s="102">
        <f>IFERROR(INDEX('I2016'!G$5:G$90,MATCH($C124,'I2016'!$A$5:$A$90,0)),"")</f>
        <v>0</v>
      </c>
      <c r="V124" s="102">
        <f>IFERROR(INDEX('I2016'!H$5:H$90,MATCH($C124,'I2016'!$A$5:$A$90,0)),"")</f>
        <v>0</v>
      </c>
      <c r="W124" s="102">
        <f>IFERROR(INDEX('I2016'!I$5:I$90,MATCH($C124,'I2016'!$A$5:$A$90,0)),"")</f>
        <v>501.54</v>
      </c>
      <c r="X124" s="102">
        <f>IFERROR(INDEX('I2016'!J$5:J$90,MATCH($C124,'I2016'!$A$5:$A$90,0)),"")</f>
        <v>461.54</v>
      </c>
      <c r="Y124" s="102">
        <f>IFERROR(INDEX('I2016'!K$5:K$90,MATCH($C124,'I2016'!$A$5:$A$90,0)),"")</f>
        <v>481.54</v>
      </c>
      <c r="Z124" s="102">
        <f>IFERROR(INDEX('I2016'!L$5:L$90,MATCH($C124,'I2016'!$A$5:$A$90,0)),"")</f>
        <v>307.7</v>
      </c>
      <c r="AA124" s="102">
        <f>IFERROR(INDEX('I2016'!M$5:M$90,MATCH($C124,'I2016'!$A$5:$A$90,0)),"")</f>
        <v>0</v>
      </c>
      <c r="AB124" s="102">
        <f>IFERROR(INDEX('I2017'!B$5:B$96,MATCH($C124,'I2017'!$A$5:$A$96,0)),"")</f>
        <v>107.74</v>
      </c>
      <c r="AC124" s="102">
        <f>IFERROR(INDEX('I2017'!C$5:C$96,MATCH($C124,'I2017'!$A$5:$A$96,0)),"")</f>
        <v>3040</v>
      </c>
      <c r="AD124" s="102">
        <f>IFERROR(INDEX('I2017'!D$5:D$96,MATCH($C124,'I2017'!$A$5:$A$96,0)),"")</f>
        <v>4182.6099999999997</v>
      </c>
      <c r="AE124" s="102">
        <f>IFERROR(INDEX('I2017'!E$5:E$96,MATCH($C124,'I2017'!$A$5:$A$96,0)),"")</f>
        <v>13023</v>
      </c>
      <c r="AF124" s="102">
        <f>IFERROR(INDEX('I2017'!F$5:F$96,MATCH($C124,'I2017'!$A$5:$A$96,0)),"")</f>
        <v>5520</v>
      </c>
      <c r="AG124" s="102">
        <f>IFERROR(INDEX('I2017'!G$5:G$96,MATCH($C124,'I2017'!$A$5:$A$96,0)),"")</f>
        <v>8303.2199999999993</v>
      </c>
      <c r="AH124" s="102">
        <f>IFERROR(INDEX('I2017'!H$5:H$96,MATCH($C124,'I2017'!$A$5:$A$96,0)),"")</f>
        <v>10092.120000000001</v>
      </c>
      <c r="AI124" s="102">
        <f>IFERROR(INDEX('I2017'!I$5:I$96,MATCH($C124,'I2017'!$A$5:$A$96,0)),"")</f>
        <v>11209.92</v>
      </c>
      <c r="AJ124" s="102">
        <f>IFERROR(INDEX('I2017'!J$5:J$96,MATCH($C124,'I2017'!$A$5:$A$96,0)),"")</f>
        <v>9051.86</v>
      </c>
      <c r="AK124" s="102">
        <f>IFERROR(INDEX('I2017'!K$5:K$96,MATCH($C124,'I2017'!$A$5:$A$96,0)),"")</f>
        <v>15029.45</v>
      </c>
      <c r="AL124" s="102">
        <f>IFERROR(INDEX('I2017'!L$5:L$96,MATCH($C124,'I2017'!$A$5:$A$96,0)),"")</f>
        <v>17210.93</v>
      </c>
      <c r="AM124" s="102">
        <f>IFERROR(INDEX('I2017'!M$5:M$96,MATCH($C124,'I2017'!$A$5:$A$96,0)),"")</f>
        <v>13689.89</v>
      </c>
      <c r="AN124" s="102">
        <f>IFERROR(INDEX('I2018'!B$5:B$107,MATCH($C124,'I2018'!$A$5:$A$107,0)),"")</f>
        <v>14028.89</v>
      </c>
      <c r="AO124" s="102">
        <f>IFERROR(INDEX('I2018'!C$5:C$107,MATCH($C124,'I2018'!$A$5:$A$107,0)),"")</f>
        <v>16081.79</v>
      </c>
      <c r="AP124" s="102">
        <f>IFERROR(INDEX('I2018'!D$5:D$107,MATCH($C124,'I2018'!$A$5:$A$107,0)),"")</f>
        <v>16237.93</v>
      </c>
      <c r="AQ124" s="102">
        <f>IFERROR(INDEX('I2018'!E$5:E$107,MATCH($C124,'I2018'!$A$5:$A$107,0)),"")</f>
        <v>14055.59</v>
      </c>
      <c r="AR124" s="102">
        <f>IFERROR(INDEX('I2018'!F$5:F$107,MATCH($C124,'I2018'!$A$5:$A$107,0)),"")</f>
        <v>19039.23</v>
      </c>
      <c r="AS124" s="102">
        <f>IFERROR(INDEX('I2018'!G$5:G$107,MATCH($C124,'I2018'!$A$5:$A$107,0)),"")</f>
        <v>10966.24</v>
      </c>
      <c r="AT124" s="102">
        <f>IFERROR(INDEX('I2018'!H$5:H$107,MATCH($C124,'I2018'!$A$5:$A$107,0)),"")</f>
        <v>11087.59</v>
      </c>
      <c r="AU124" s="102">
        <f>IFERROR(INDEX('I2018'!I$5:I$107,MATCH($C124,'I2018'!$A$5:$A$107,0)),"")</f>
        <v>22532.959999999999</v>
      </c>
      <c r="AV124" s="102">
        <f>IFERROR(INDEX('I2018'!J$5:J$107,MATCH($C124,'I2018'!$A$5:$A$107,0)),"")</f>
        <v>36613.03</v>
      </c>
      <c r="AW124" s="102">
        <f>IFERROR(INDEX('I2018'!K$5:K$107,MATCH($C124,'I2018'!$A$5:$A$107,0)),"")</f>
        <v>40156.639999999999</v>
      </c>
      <c r="AX124" s="102">
        <f>IFERROR(INDEX('I2018'!L$5:L$107,MATCH($C124,'I2018'!$A$5:$A$107,0)),"")</f>
        <v>59077.86</v>
      </c>
      <c r="AY124" s="102">
        <f>IFERROR(INDEX('I2018'!M$5:M$107,MATCH($C124,'I2018'!$A$5:$A$107,0)),"")</f>
        <v>44243.76</v>
      </c>
      <c r="AZ124" s="102">
        <f>IFERROR(INDEX('I2019'!B$5:B$112,MATCH($C124,'I2019'!$A$5:$A$112,0)),"")</f>
        <v>38380.11</v>
      </c>
      <c r="BA124" s="102">
        <f>IFERROR(INDEX('I2019'!C$5:C$112,MATCH($C124,'I2019'!$A$5:$A$112,0)),"")</f>
        <v>50731.97</v>
      </c>
      <c r="BB124" s="102">
        <f>IFERROR(INDEX('I2019'!D$5:D$112,MATCH($C124,'I2019'!$A$5:$A$112,0)),"")</f>
        <v>43927.27</v>
      </c>
      <c r="BC124" s="102">
        <f>IFERROR(INDEX('I2019'!E$5:E$112,MATCH($C124,'I2019'!$A$5:$A$112,0)),"")</f>
        <v>76030.13</v>
      </c>
      <c r="BD124" s="102">
        <f>IFERROR(INDEX('I2019'!F$5:F$112,MATCH($C124,'I2019'!$A$5:$A$112,0)),"")</f>
        <v>37779.93</v>
      </c>
      <c r="BE124" s="102">
        <f>IFERROR(INDEX('I2019'!G$5:G$112,MATCH($C124,'I2019'!$A$5:$A$112,0)),"")</f>
        <v>43874.02</v>
      </c>
      <c r="BF124" s="102">
        <f>IFERROR(INDEX('I2019'!H$5:H$112,MATCH($C124,'I2019'!$A$5:$A$112,0)),"")</f>
        <v>49543.39</v>
      </c>
      <c r="BG124" s="102">
        <f>IFERROR(INDEX('I2019'!I$5:I$112,MATCH($C124,'I2019'!$A$5:$A$112,0)),"")</f>
        <v>36374.06</v>
      </c>
      <c r="BH124" s="102">
        <f>IFERROR(INDEX('I2019'!J$5:J$112,MATCH($C124,'I2019'!$A$5:$A$112,0)),"")</f>
        <v>45083.38</v>
      </c>
      <c r="BI124" s="102">
        <f>IFERROR(INDEX('I2019'!K$5:K$112,MATCH($C124,'I2019'!$A$5:$A$112,0)),"")</f>
        <v>42819.26</v>
      </c>
      <c r="BJ124" s="102">
        <f>IFERROR(INDEX('I2019'!L$5:L$112,MATCH($C124,'I2019'!$A$5:$A$112,0)),"")</f>
        <v>36979</v>
      </c>
      <c r="BK124" s="102">
        <f>IFERROR(INDEX('I2019'!M$5:M$112,MATCH($C124,'I2019'!$A$5:$A$112,0)),"")</f>
        <v>50808.18</v>
      </c>
      <c r="BL124" s="102">
        <f>IFERROR(INDEX('I2020'!B$5:B$113,MATCH($C124,'I2020'!$A$5:$A$113,0)),"")</f>
        <v>35372.160000000003</v>
      </c>
      <c r="BM124" s="102">
        <f>IFERROR(INDEX('I2020'!C$5:C$113,MATCH($C124,'I2020'!$A$5:$A$113,0)),"")</f>
        <v>48125.18</v>
      </c>
      <c r="BN124" s="102">
        <f>IFERROR(INDEX('I2020'!D$5:D$113,MATCH($C124,'I2020'!$A$5:$A$113,0)),"")</f>
        <v>45329.94</v>
      </c>
      <c r="BO124" s="102">
        <f>IFERROR(INDEX('I2020'!E$5:E$113,MATCH($C124,'I2020'!$A$5:$A$113,0)),"")</f>
        <v>66187.23</v>
      </c>
      <c r="BP124" s="102">
        <f>IFERROR(INDEX('I2020'!F$5:F$113,MATCH($C124,'I2020'!$A$5:$A$113,0)),"")</f>
        <v>46238.49</v>
      </c>
      <c r="BQ124" s="392">
        <f>IFERROR(INDEX('I2020'!G$5:G$113,MATCH($C124,'I2020'!$A$5:$A$113,0)),"")</f>
        <v>43979.88</v>
      </c>
      <c r="BR124" s="64"/>
      <c r="BS124" s="64"/>
      <c r="BT124" s="64"/>
      <c r="BU124" s="64"/>
      <c r="BV124" s="64"/>
      <c r="BW124" s="64"/>
      <c r="BX124" s="64"/>
      <c r="BY124" s="64"/>
      <c r="BZ124" s="64"/>
      <c r="CA124" s="64"/>
      <c r="CB124" s="64"/>
      <c r="CC124" s="64"/>
      <c r="CD124" s="64"/>
      <c r="CE124" s="64"/>
      <c r="CF124" s="64"/>
      <c r="CG124" s="64"/>
      <c r="CH124" s="64"/>
      <c r="CI124" s="124"/>
      <c r="CJ124" s="134"/>
    </row>
    <row r="125" spans="1:88" x14ac:dyDescent="0.3">
      <c r="A125" s="33"/>
      <c r="B125" s="68"/>
      <c r="C125" s="21" t="s">
        <v>90</v>
      </c>
      <c r="D125" s="22" t="str">
        <f>IFERROR(INDEX('I2015'!B$5:B$73,MATCH($C125,'I2015'!$A$5:$A$73,0)),"")</f>
        <v/>
      </c>
      <c r="E125" s="22" t="str">
        <f>IFERROR(INDEX('I2015'!C$5:C$73,MATCH($C125,'I2015'!$A$5:$A$73,0)),"")</f>
        <v/>
      </c>
      <c r="F125" s="22" t="str">
        <f>IFERROR(INDEX('I2015'!D$5:D$73,MATCH($C125,'I2015'!$A$5:$A$73,0)),"")</f>
        <v/>
      </c>
      <c r="G125" s="22" t="str">
        <f>IFERROR(INDEX('I2015'!E$5:E$73,MATCH($C125,'I2015'!$A$5:$A$73,0)),"")</f>
        <v/>
      </c>
      <c r="H125" s="22" t="str">
        <f>IFERROR(INDEX('I2015'!F$5:F$73,MATCH($C125,'I2015'!$A$5:$A$73,0)),"")</f>
        <v/>
      </c>
      <c r="I125" s="22" t="str">
        <f>IFERROR(INDEX('I2015'!G$5:G$73,MATCH($C125,'I2015'!$A$5:$A$73,0)),"")</f>
        <v/>
      </c>
      <c r="J125" s="22" t="str">
        <f>IFERROR(INDEX('I2015'!H$5:H$73,MATCH($C125,'I2015'!$A$5:$A$73,0)),"")</f>
        <v/>
      </c>
      <c r="K125" s="22" t="str">
        <f>IFERROR(INDEX('I2015'!I$5:I$73,MATCH($C125,'I2015'!$A$5:$A$73,0)),"")</f>
        <v/>
      </c>
      <c r="L125" s="22" t="str">
        <f>IFERROR(INDEX('I2015'!J$5:J$73,MATCH($C125,'I2015'!$A$5:$A$73,0)),"")</f>
        <v/>
      </c>
      <c r="M125" s="22" t="str">
        <f>IFERROR(INDEX('I2015'!K$5:K$73,MATCH($C125,'I2015'!$A$5:$A$73,0)),"")</f>
        <v/>
      </c>
      <c r="N125" s="22" t="str">
        <f>IFERROR(INDEX('I2015'!L$5:L$73,MATCH($C125,'I2015'!$A$5:$A$73,0)),"")</f>
        <v/>
      </c>
      <c r="O125" s="22" t="str">
        <f>IFERROR(INDEX('I2015'!M$5:M$73,MATCH($C125,'I2015'!$A$5:$A$73,0)),"")</f>
        <v/>
      </c>
      <c r="P125" s="22" t="str">
        <f>IFERROR(INDEX('I2016'!B$5:B$90,MATCH($C125,'I2016'!$A$5:$A$90,0)),"")</f>
        <v/>
      </c>
      <c r="Q125" s="22" t="str">
        <f>IFERROR(INDEX('I2016'!C$5:C$90,MATCH($C125,'I2016'!$A$5:$A$90,0)),"")</f>
        <v/>
      </c>
      <c r="R125" s="22" t="str">
        <f>IFERROR(INDEX('I2016'!D$5:D$90,MATCH($C125,'I2016'!$A$5:$A$90,0)),"")</f>
        <v/>
      </c>
      <c r="S125" s="22" t="str">
        <f>IFERROR(INDEX('I2016'!E$5:E$90,MATCH($C125,'I2016'!$A$5:$A$90,0)),"")</f>
        <v/>
      </c>
      <c r="T125" s="22" t="str">
        <f>IFERROR(INDEX('I2016'!F$5:F$90,MATCH($C125,'I2016'!$A$5:$A$90,0)),"")</f>
        <v/>
      </c>
      <c r="U125" s="22" t="str">
        <f>IFERROR(INDEX('I2016'!G$5:G$90,MATCH($C125,'I2016'!$A$5:$A$90,0)),"")</f>
        <v/>
      </c>
      <c r="V125" s="22" t="str">
        <f>IFERROR(INDEX('I2016'!H$5:H$90,MATCH($C125,'I2016'!$A$5:$A$90,0)),"")</f>
        <v/>
      </c>
      <c r="W125" s="22" t="str">
        <f>IFERROR(INDEX('I2016'!I$5:I$90,MATCH($C125,'I2016'!$A$5:$A$90,0)),"")</f>
        <v/>
      </c>
      <c r="X125" s="22" t="str">
        <f>IFERROR(INDEX('I2016'!J$5:J$90,MATCH($C125,'I2016'!$A$5:$A$90,0)),"")</f>
        <v/>
      </c>
      <c r="Y125" s="22" t="str">
        <f>IFERROR(INDEX('I2016'!K$5:K$90,MATCH($C125,'I2016'!$A$5:$A$90,0)),"")</f>
        <v/>
      </c>
      <c r="Z125" s="22" t="str">
        <f>IFERROR(INDEX('I2016'!L$5:L$90,MATCH($C125,'I2016'!$A$5:$A$90,0)),"")</f>
        <v/>
      </c>
      <c r="AA125" s="22" t="str">
        <f>IFERROR(INDEX('I2016'!M$5:M$90,MATCH($C125,'I2016'!$A$5:$A$90,0)),"")</f>
        <v/>
      </c>
      <c r="AB125" s="22" t="str">
        <f>IFERROR(INDEX('I2017'!B$5:B$96,MATCH($C125,'I2017'!$A$5:$A$96,0)),"")</f>
        <v/>
      </c>
      <c r="AC125" s="22" t="str">
        <f>IFERROR(INDEX('I2017'!C$5:C$96,MATCH($C125,'I2017'!$A$5:$A$96,0)),"")</f>
        <v/>
      </c>
      <c r="AD125" s="22" t="str">
        <f>IFERROR(INDEX('I2017'!D$5:D$96,MATCH($C125,'I2017'!$A$5:$A$96,0)),"")</f>
        <v/>
      </c>
      <c r="AE125" s="22" t="str">
        <f>IFERROR(INDEX('I2017'!E$5:E$96,MATCH($C125,'I2017'!$A$5:$A$96,0)),"")</f>
        <v/>
      </c>
      <c r="AF125" s="22" t="str">
        <f>IFERROR(INDEX('I2017'!F$5:F$96,MATCH($C125,'I2017'!$A$5:$A$96,0)),"")</f>
        <v/>
      </c>
      <c r="AG125" s="22" t="str">
        <f>IFERROR(INDEX('I2017'!G$5:G$96,MATCH($C125,'I2017'!$A$5:$A$96,0)),"")</f>
        <v/>
      </c>
      <c r="AH125" s="22" t="str">
        <f>IFERROR(INDEX('I2017'!H$5:H$96,MATCH($C125,'I2017'!$A$5:$A$96,0)),"")</f>
        <v/>
      </c>
      <c r="AI125" s="22" t="str">
        <f>IFERROR(INDEX('I2017'!I$5:I$96,MATCH($C125,'I2017'!$A$5:$A$96,0)),"")</f>
        <v/>
      </c>
      <c r="AJ125" s="22" t="str">
        <f>IFERROR(INDEX('I2017'!J$5:J$96,MATCH($C125,'I2017'!$A$5:$A$96,0)),"")</f>
        <v/>
      </c>
      <c r="AK125" s="22" t="str">
        <f>IFERROR(INDEX('I2017'!K$5:K$96,MATCH($C125,'I2017'!$A$5:$A$96,0)),"")</f>
        <v/>
      </c>
      <c r="AL125" s="22" t="str">
        <f>IFERROR(INDEX('I2017'!L$5:L$96,MATCH($C125,'I2017'!$A$5:$A$96,0)),"")</f>
        <v/>
      </c>
      <c r="AM125" s="22" t="str">
        <f>IFERROR(INDEX('I2017'!M$5:M$96,MATCH($C125,'I2017'!$A$5:$A$96,0)),"")</f>
        <v/>
      </c>
      <c r="AN125" s="22">
        <f>IFERROR(INDEX('I2018'!B$5:B$107,MATCH($C125,'I2018'!$A$5:$A$107,0)),"")</f>
        <v>0</v>
      </c>
      <c r="AO125" s="22">
        <f>IFERROR(INDEX('I2018'!C$5:C$107,MATCH($C125,'I2018'!$A$5:$A$107,0)),"")</f>
        <v>0</v>
      </c>
      <c r="AP125" s="22">
        <f>IFERROR(INDEX('I2018'!D$5:D$107,MATCH($C125,'I2018'!$A$5:$A$107,0)),"")</f>
        <v>0</v>
      </c>
      <c r="AQ125" s="22">
        <f>IFERROR(INDEX('I2018'!E$5:E$107,MATCH($C125,'I2018'!$A$5:$A$107,0)),"")</f>
        <v>0</v>
      </c>
      <c r="AR125" s="22">
        <f>IFERROR(INDEX('I2018'!F$5:F$107,MATCH($C125,'I2018'!$A$5:$A$107,0)),"")</f>
        <v>0</v>
      </c>
      <c r="AS125" s="22">
        <f>IFERROR(INDEX('I2018'!G$5:G$107,MATCH($C125,'I2018'!$A$5:$A$107,0)),"")</f>
        <v>0</v>
      </c>
      <c r="AT125" s="22">
        <f>IFERROR(INDEX('I2018'!H$5:H$107,MATCH($C125,'I2018'!$A$5:$A$107,0)),"")</f>
        <v>18312.41</v>
      </c>
      <c r="AU125" s="22">
        <f>IFERROR(INDEX('I2018'!I$5:I$107,MATCH($C125,'I2018'!$A$5:$A$107,0)),"")</f>
        <v>15511.25</v>
      </c>
      <c r="AV125" s="22">
        <f>IFERROR(INDEX('I2018'!J$5:J$107,MATCH($C125,'I2018'!$A$5:$A$107,0)),"")</f>
        <v>22615.4</v>
      </c>
      <c r="AW125" s="22">
        <f>IFERROR(INDEX('I2018'!K$5:K$107,MATCH($C125,'I2018'!$A$5:$A$107,0)),"")</f>
        <v>22615.4</v>
      </c>
      <c r="AX125" s="22">
        <f>IFERROR(INDEX('I2018'!L$5:L$107,MATCH($C125,'I2018'!$A$5:$A$107,0)),"")</f>
        <v>33923.1</v>
      </c>
      <c r="AY125" s="22">
        <f>IFERROR(INDEX('I2018'!M$5:M$107,MATCH($C125,'I2018'!$A$5:$A$107,0)),"")</f>
        <v>22615.4</v>
      </c>
      <c r="AZ125" s="22">
        <f>IFERROR(INDEX('I2019'!B$5:B$112,MATCH($C125,'I2019'!$A$5:$A$112,0)),"")</f>
        <v>22615.4</v>
      </c>
      <c r="BA125" s="22">
        <f>IFERROR(INDEX('I2019'!C$5:C$112,MATCH($C125,'I2019'!$A$5:$A$112,0)),"")</f>
        <v>22615.4</v>
      </c>
      <c r="BB125" s="22">
        <f>IFERROR(INDEX('I2019'!D$5:D$112,MATCH($C125,'I2019'!$A$5:$A$112,0)),"")</f>
        <v>22615.4</v>
      </c>
      <c r="BC125" s="22">
        <f>IFERROR(INDEX('I2019'!E$5:E$112,MATCH($C125,'I2019'!$A$5:$A$112,0)),"")</f>
        <v>22615.4</v>
      </c>
      <c r="BD125" s="22">
        <f>IFERROR(INDEX('I2019'!F$5:F$112,MATCH($C125,'I2019'!$A$5:$A$112,0)),"")</f>
        <v>33923.1</v>
      </c>
      <c r="BE125" s="22">
        <f>IFERROR(INDEX('I2019'!G$5:G$112,MATCH($C125,'I2019'!$A$5:$A$112,0)),"")</f>
        <v>22615.4</v>
      </c>
      <c r="BF125" s="22">
        <f>IFERROR(INDEX('I2019'!H$5:H$112,MATCH($C125,'I2019'!$A$5:$A$112,0)),"")</f>
        <v>22615.4</v>
      </c>
      <c r="BG125" s="22">
        <f>IFERROR(INDEX('I2019'!I$5:I$112,MATCH($C125,'I2019'!$A$5:$A$112,0)),"")</f>
        <v>22615.4</v>
      </c>
      <c r="BH125" s="22">
        <f>IFERROR(INDEX('I2019'!J$5:J$112,MATCH($C125,'I2019'!$A$5:$A$112,0)),"")</f>
        <v>22615.4</v>
      </c>
      <c r="BI125" s="22">
        <f>IFERROR(INDEX('I2019'!K$5:K$112,MATCH($C125,'I2019'!$A$5:$A$112,0)),"")</f>
        <v>22615.4</v>
      </c>
      <c r="BJ125" s="22">
        <f>IFERROR(INDEX('I2019'!L$5:L$112,MATCH($C125,'I2019'!$A$5:$A$112,0)),"")</f>
        <v>33923.1</v>
      </c>
      <c r="BK125" s="22">
        <f>IFERROR(INDEX('I2019'!M$5:M$112,MATCH($C125,'I2019'!$A$5:$A$112,0)),"")</f>
        <v>22615.4</v>
      </c>
      <c r="BL125" s="22">
        <f>IFERROR(INDEX('I2020'!B$5:B$113,MATCH($C125,'I2020'!$A$5:$A$113,0)),"")</f>
        <v>22615.4</v>
      </c>
      <c r="BM125" s="22">
        <f>IFERROR(INDEX('I2020'!C$5:C$113,MATCH($C125,'I2020'!$A$5:$A$113,0)),"")</f>
        <v>22615.4</v>
      </c>
      <c r="BN125" s="22">
        <f>IFERROR(INDEX('I2020'!D$5:D$113,MATCH($C125,'I2020'!$A$5:$A$113,0)),"")</f>
        <v>22615.4</v>
      </c>
      <c r="BO125" s="22">
        <f>IFERROR(INDEX('I2020'!E$5:E$113,MATCH($C125,'I2020'!$A$5:$A$113,0)),"")</f>
        <v>22615.41</v>
      </c>
      <c r="BP125" s="22">
        <f>IFERROR(INDEX('I2020'!F$5:F$113,MATCH($C125,'I2020'!$A$5:$A$113,0)),"")</f>
        <v>33923.1</v>
      </c>
      <c r="BQ125" s="393">
        <f>IFERROR(INDEX('I2020'!G$5:G$113,MATCH($C125,'I2020'!$A$5:$A$113,0)),"")</f>
        <v>22615.4</v>
      </c>
      <c r="BR125" s="65"/>
      <c r="BS125" s="65"/>
      <c r="BT125" s="65"/>
      <c r="BU125" s="65"/>
      <c r="BV125" s="65"/>
      <c r="BW125" s="65"/>
      <c r="BX125" s="65"/>
      <c r="BY125" s="65"/>
      <c r="BZ125" s="65"/>
      <c r="CA125" s="65"/>
      <c r="CB125" s="65"/>
      <c r="CC125" s="65"/>
      <c r="CD125" s="65"/>
      <c r="CE125" s="65"/>
      <c r="CF125" s="65"/>
      <c r="CG125" s="65"/>
      <c r="CH125" s="65"/>
      <c r="CI125" s="125"/>
      <c r="CJ125" s="134"/>
    </row>
    <row r="126" spans="1:88" x14ac:dyDescent="0.3">
      <c r="A126" s="33" t="s">
        <v>458</v>
      </c>
      <c r="B126" s="169">
        <v>0.03</v>
      </c>
      <c r="C126" s="26" t="s">
        <v>91</v>
      </c>
      <c r="D126" s="78" t="str">
        <f>IFERROR(INDEX('I2015'!B$5:B$73,MATCH($C126,'I2015'!$A$5:$A$73,0)),"")</f>
        <v/>
      </c>
      <c r="E126" s="78" t="str">
        <f>IFERROR(INDEX('I2015'!C$5:C$73,MATCH($C126,'I2015'!$A$5:$A$73,0)),"")</f>
        <v/>
      </c>
      <c r="F126" s="78" t="str">
        <f>IFERROR(INDEX('I2015'!D$5:D$73,MATCH($C126,'I2015'!$A$5:$A$73,0)),"")</f>
        <v/>
      </c>
      <c r="G126" s="78" t="str">
        <f>IFERROR(INDEX('I2015'!E$5:E$73,MATCH($C126,'I2015'!$A$5:$A$73,0)),"")</f>
        <v/>
      </c>
      <c r="H126" s="78" t="str">
        <f>IFERROR(INDEX('I2015'!F$5:F$73,MATCH($C126,'I2015'!$A$5:$A$73,0)),"")</f>
        <v/>
      </c>
      <c r="I126" s="78" t="str">
        <f>IFERROR(INDEX('I2015'!G$5:G$73,MATCH($C126,'I2015'!$A$5:$A$73,0)),"")</f>
        <v/>
      </c>
      <c r="J126" s="78" t="str">
        <f>IFERROR(INDEX('I2015'!H$5:H$73,MATCH($C126,'I2015'!$A$5:$A$73,0)),"")</f>
        <v/>
      </c>
      <c r="K126" s="78" t="str">
        <f>IFERROR(INDEX('I2015'!I$5:I$73,MATCH($C126,'I2015'!$A$5:$A$73,0)),"")</f>
        <v/>
      </c>
      <c r="L126" s="78" t="str">
        <f>IFERROR(INDEX('I2015'!J$5:J$73,MATCH($C126,'I2015'!$A$5:$A$73,0)),"")</f>
        <v/>
      </c>
      <c r="M126" s="78" t="str">
        <f>IFERROR(INDEX('I2015'!K$5:K$73,MATCH($C126,'I2015'!$A$5:$A$73,0)),"")</f>
        <v/>
      </c>
      <c r="N126" s="78" t="str">
        <f>IFERROR(INDEX('I2015'!L$5:L$73,MATCH($C126,'I2015'!$A$5:$A$73,0)),"")</f>
        <v/>
      </c>
      <c r="O126" s="78" t="str">
        <f>IFERROR(INDEX('I2015'!M$5:M$73,MATCH($C126,'I2015'!$A$5:$A$73,0)),"")</f>
        <v/>
      </c>
      <c r="P126" s="78">
        <f>IFERROR(INDEX('I2016'!B$5:B$90,MATCH($C126,'I2016'!$A$5:$A$90,0)),"")</f>
        <v>8761.91</v>
      </c>
      <c r="Q126" s="78">
        <f>IFERROR(INDEX('I2016'!C$5:C$90,MATCH($C126,'I2016'!$A$5:$A$90,0)),"")</f>
        <v>6524.78</v>
      </c>
      <c r="R126" s="78">
        <f>IFERROR(INDEX('I2016'!D$5:D$90,MATCH($C126,'I2016'!$A$5:$A$90,0)),"")</f>
        <v>8434.6299999999992</v>
      </c>
      <c r="S126" s="78">
        <f>IFERROR(INDEX('I2016'!E$5:E$90,MATCH($C126,'I2016'!$A$5:$A$90,0)),"")</f>
        <v>13973.02</v>
      </c>
      <c r="T126" s="78">
        <f>IFERROR(INDEX('I2016'!F$5:F$90,MATCH($C126,'I2016'!$A$5:$A$90,0)),"")</f>
        <v>15392.300000000001</v>
      </c>
      <c r="U126" s="78">
        <f>IFERROR(INDEX('I2016'!G$5:G$90,MATCH($C126,'I2016'!$A$5:$A$90,0)),"")</f>
        <v>9519.24</v>
      </c>
      <c r="V126" s="78">
        <f>IFERROR(INDEX('I2016'!H$5:H$90,MATCH($C126,'I2016'!$A$5:$A$90,0)),"")</f>
        <v>9519.24</v>
      </c>
      <c r="W126" s="78">
        <f>IFERROR(INDEX('I2016'!I$5:I$90,MATCH($C126,'I2016'!$A$5:$A$90,0)),"")</f>
        <v>9559.2400000000016</v>
      </c>
      <c r="X126" s="78">
        <f>IFERROR(INDEX('I2016'!J$5:J$90,MATCH($C126,'I2016'!$A$5:$A$90,0)),"")</f>
        <v>10534.990000000002</v>
      </c>
      <c r="Y126" s="78">
        <f>IFERROR(INDEX('I2016'!K$5:K$90,MATCH($C126,'I2016'!$A$5:$A$90,0)),"")</f>
        <v>17228.440000000002</v>
      </c>
      <c r="Z126" s="78">
        <f>IFERROR(INDEX('I2016'!L$5:L$90,MATCH($C126,'I2016'!$A$5:$A$90,0)),"")</f>
        <v>10122.52</v>
      </c>
      <c r="AA126" s="78">
        <f>IFERROR(INDEX('I2016'!M$5:M$90,MATCH($C126,'I2016'!$A$5:$A$90,0)),"")</f>
        <v>11367.7</v>
      </c>
      <c r="AB126" s="78">
        <f>IFERROR(INDEX('I2017'!B$5:B$96,MATCH($C126,'I2017'!$A$5:$A$96,0)),"")</f>
        <v>9626.98</v>
      </c>
      <c r="AC126" s="78">
        <f>IFERROR(INDEX('I2017'!C$5:C$96,MATCH($C126,'I2017'!$A$5:$A$96,0)),"")</f>
        <v>15636.16</v>
      </c>
      <c r="AD126" s="78">
        <f>IFERROR(INDEX('I2017'!D$5:D$96,MATCH($C126,'I2017'!$A$5:$A$96,0)),"")</f>
        <v>19178.77</v>
      </c>
      <c r="AE126" s="78">
        <f>IFERROR(INDEX('I2017'!E$5:E$96,MATCH($C126,'I2017'!$A$5:$A$96,0)),"")</f>
        <v>35084.740000000005</v>
      </c>
      <c r="AF126" s="78">
        <f>IFERROR(INDEX('I2017'!F$5:F$96,MATCH($C126,'I2017'!$A$5:$A$96,0)),"")</f>
        <v>19968.66</v>
      </c>
      <c r="AG126" s="78">
        <f>IFERROR(INDEX('I2017'!G$5:G$96,MATCH($C126,'I2017'!$A$5:$A$96,0)),"")</f>
        <v>24584.959999999999</v>
      </c>
      <c r="AH126" s="78">
        <f>IFERROR(INDEX('I2017'!H$5:H$96,MATCH($C126,'I2017'!$A$5:$A$96,0)),"")</f>
        <v>28916.39</v>
      </c>
      <c r="AI126" s="78">
        <f>IFERROR(INDEX('I2017'!I$5:I$96,MATCH($C126,'I2017'!$A$5:$A$96,0)),"")</f>
        <v>29302.239999999998</v>
      </c>
      <c r="AJ126" s="78">
        <f>IFERROR(INDEX('I2017'!J$5:J$96,MATCH($C126,'I2017'!$A$5:$A$96,0)),"")</f>
        <v>27144.18</v>
      </c>
      <c r="AK126" s="78">
        <f>IFERROR(INDEX('I2017'!K$5:K$96,MATCH($C126,'I2017'!$A$5:$A$96,0)),"")</f>
        <v>33091.770000000004</v>
      </c>
      <c r="AL126" s="78">
        <f>IFERROR(INDEX('I2017'!L$5:L$96,MATCH($C126,'I2017'!$A$5:$A$96,0)),"")</f>
        <v>43276.41</v>
      </c>
      <c r="AM126" s="78">
        <f>IFERROR(INDEX('I2017'!M$5:M$96,MATCH($C126,'I2017'!$A$5:$A$96,0)),"")</f>
        <v>29382.21</v>
      </c>
      <c r="AN126" s="78">
        <f>IFERROR(INDEX('I2018'!B$5:B$107,MATCH($C126,'I2018'!$A$5:$A$107,0)),"")</f>
        <v>29721.21</v>
      </c>
      <c r="AO126" s="78">
        <f>IFERROR(INDEX('I2018'!C$5:C$107,MATCH($C126,'I2018'!$A$5:$A$107,0)),"")</f>
        <v>31774.11</v>
      </c>
      <c r="AP126" s="78">
        <f>IFERROR(INDEX('I2018'!D$5:D$107,MATCH($C126,'I2018'!$A$5:$A$107,0)),"")</f>
        <v>32010.25</v>
      </c>
      <c r="AQ126" s="78">
        <f>IFERROR(INDEX('I2018'!E$5:E$107,MATCH($C126,'I2018'!$A$5:$A$107,0)),"")</f>
        <v>29747.91</v>
      </c>
      <c r="AR126" s="78">
        <f>IFERROR(INDEX('I2018'!F$5:F$107,MATCH($C126,'I2018'!$A$5:$A$107,0)),"")</f>
        <v>34709.910000000003</v>
      </c>
      <c r="AS126" s="78">
        <f>IFERROR(INDEX('I2018'!G$5:G$107,MATCH($C126,'I2018'!$A$5:$A$107,0)),"")</f>
        <v>36631.33</v>
      </c>
      <c r="AT126" s="78">
        <f>IFERROR(INDEX('I2018'!H$5:H$107,MATCH($C126,'I2018'!$A$5:$A$107,0)),"")</f>
        <v>29400</v>
      </c>
      <c r="AU126" s="78">
        <f>IFERROR(INDEX('I2018'!I$5:I$107,MATCH($C126,'I2018'!$A$5:$A$107,0)),"")</f>
        <v>38044.21</v>
      </c>
      <c r="AV126" s="78">
        <f>IFERROR(INDEX('I2018'!J$5:J$107,MATCH($C126,'I2018'!$A$5:$A$107,0)),"")</f>
        <v>59228.43</v>
      </c>
      <c r="AW126" s="78">
        <f>IFERROR(INDEX('I2018'!K$5:K$107,MATCH($C126,'I2018'!$A$5:$A$107,0)),"")</f>
        <v>62772.04</v>
      </c>
      <c r="AX126" s="78">
        <f>IFERROR(INDEX('I2018'!L$5:L$107,MATCH($C126,'I2018'!$A$5:$A$107,0)),"")</f>
        <v>93000.959999999992</v>
      </c>
      <c r="AY126" s="78">
        <f>IFERROR(INDEX('I2018'!M$5:M$107,MATCH($C126,'I2018'!$A$5:$A$107,0)),"")</f>
        <v>66859.16</v>
      </c>
      <c r="AZ126" s="78">
        <f>IFERROR(INDEX('I2019'!B$5:B$112,MATCH($C126,'I2019'!$A$5:$A$112,0)),"")</f>
        <v>60995.51</v>
      </c>
      <c r="BA126" s="78">
        <f>IFERROR(INDEX('I2019'!C$5:C$112,MATCH($C126,'I2019'!$A$5:$A$112,0)),"")</f>
        <v>73347.37</v>
      </c>
      <c r="BB126" s="78">
        <f>IFERROR(INDEX('I2019'!D$5:D$112,MATCH($C126,'I2019'!$A$5:$A$112,0)),"")</f>
        <v>66542.67</v>
      </c>
      <c r="BC126" s="78">
        <f>IFERROR(INDEX('I2019'!E$5:E$112,MATCH($C126,'I2019'!$A$5:$A$112,0)),"")</f>
        <v>98645.53</v>
      </c>
      <c r="BD126" s="78">
        <f>IFERROR(INDEX('I2019'!F$5:F$112,MATCH($C126,'I2019'!$A$5:$A$112,0)),"")</f>
        <v>71703.03</v>
      </c>
      <c r="BE126" s="78">
        <f>IFERROR(INDEX('I2019'!G$5:G$112,MATCH($C126,'I2019'!$A$5:$A$112,0)),"")</f>
        <v>66489.42</v>
      </c>
      <c r="BF126" s="78">
        <f>IFERROR(INDEX('I2019'!H$5:H$112,MATCH($C126,'I2019'!$A$5:$A$112,0)),"")</f>
        <v>72158.790000000008</v>
      </c>
      <c r="BG126" s="78">
        <f>IFERROR(INDEX('I2019'!I$5:I$112,MATCH($C126,'I2019'!$A$5:$A$112,0)),"")</f>
        <v>58989.46</v>
      </c>
      <c r="BH126" s="78">
        <f>IFERROR(INDEX('I2019'!J$5:J$112,MATCH($C126,'I2019'!$A$5:$A$112,0)),"")</f>
        <v>67698.78</v>
      </c>
      <c r="BI126" s="78">
        <f>IFERROR(INDEX('I2019'!K$5:K$112,MATCH($C126,'I2019'!$A$5:$A$112,0)),"")</f>
        <v>65434.66</v>
      </c>
      <c r="BJ126" s="78">
        <f>IFERROR(INDEX('I2019'!L$5:L$112,MATCH($C126,'I2019'!$A$5:$A$112,0)),"")</f>
        <v>70902.100000000006</v>
      </c>
      <c r="BK126" s="78">
        <f>IFERROR(INDEX('I2019'!M$5:M$112,MATCH($C126,'I2019'!$A$5:$A$112,0)),"")</f>
        <v>73423.58</v>
      </c>
      <c r="BL126" s="78">
        <f>IFERROR(INDEX('I2020'!B$5:B$113,MATCH($C126,'I2020'!$A$5:$A$113,0)),"")</f>
        <v>57987.560000000005</v>
      </c>
      <c r="BM126" s="78">
        <f>IFERROR(INDEX('I2020'!C$5:C$113,MATCH($C126,'I2020'!$A$5:$A$113,0)),"")</f>
        <v>70740.58</v>
      </c>
      <c r="BN126" s="78">
        <f>IFERROR(INDEX('I2020'!D$5:D$113,MATCH($C126,'I2020'!$A$5:$A$113,0)),"")</f>
        <v>67945.34</v>
      </c>
      <c r="BO126" s="78">
        <f>IFERROR(INDEX('I2020'!E$5:E$113,MATCH($C126,'I2020'!$A$5:$A$113,0)),"")</f>
        <v>88802.64</v>
      </c>
      <c r="BP126" s="78">
        <f>IFERROR(INDEX('I2020'!F$5:F$113,MATCH($C126,'I2020'!$A$5:$A$113,0)),"")</f>
        <v>80161.59</v>
      </c>
      <c r="BQ126" s="398">
        <f>IFERROR(INDEX('I2020'!G$5:G$113,MATCH($C126,'I2020'!$A$5:$A$113,0)),"")</f>
        <v>66595.28</v>
      </c>
      <c r="BR126" s="153">
        <f t="shared" ref="BQ126:CI126" si="98">$B126*BR$31</f>
        <v>84797.717729049618</v>
      </c>
      <c r="BS126" s="153">
        <f t="shared" si="98"/>
        <v>85988.310096032277</v>
      </c>
      <c r="BT126" s="153">
        <f t="shared" si="98"/>
        <v>88029.792144385952</v>
      </c>
      <c r="BU126" s="153">
        <f t="shared" si="98"/>
        <v>90817.326427122505</v>
      </c>
      <c r="BV126" s="153">
        <f t="shared" si="98"/>
        <v>94270.963416008584</v>
      </c>
      <c r="BW126" s="153">
        <f t="shared" si="98"/>
        <v>98330.899143576054</v>
      </c>
      <c r="BX126" s="153">
        <f t="shared" si="98"/>
        <v>101922.55965179161</v>
      </c>
      <c r="BY126" s="153">
        <f t="shared" si="98"/>
        <v>105144.75566341798</v>
      </c>
      <c r="BZ126" s="153">
        <f t="shared" si="98"/>
        <v>108076.61309184886</v>
      </c>
      <c r="CA126" s="153">
        <f t="shared" si="98"/>
        <v>110781.51116301026</v>
      </c>
      <c r="CB126" s="153">
        <f t="shared" si="98"/>
        <v>113310.23293028238</v>
      </c>
      <c r="CC126" s="153">
        <f t="shared" si="98"/>
        <v>115703.48570409816</v>
      </c>
      <c r="CD126" s="153">
        <f t="shared" si="98"/>
        <v>117993.91741354887</v>
      </c>
      <c r="CE126" s="153">
        <f t="shared" si="98"/>
        <v>120207.72971386349</v>
      </c>
      <c r="CF126" s="153">
        <f t="shared" si="98"/>
        <v>122365.96849086057</v>
      </c>
      <c r="CG126" s="153">
        <f t="shared" si="98"/>
        <v>124485.55628325474</v>
      </c>
      <c r="CH126" s="153">
        <f t="shared" si="98"/>
        <v>126580.11823952857</v>
      </c>
      <c r="CI126" s="154">
        <f t="shared" si="98"/>
        <v>128660.64290274154</v>
      </c>
      <c r="CJ126" s="289"/>
    </row>
    <row r="127" spans="1:88" x14ac:dyDescent="0.3">
      <c r="A127" s="33"/>
      <c r="B127" s="68"/>
      <c r="C127" s="21" t="s">
        <v>92</v>
      </c>
      <c r="D127" s="102" t="str">
        <f>IFERROR(INDEX('I2015'!B$5:B$73,MATCH($C127,'I2015'!$A$5:$A$73,0)),"")</f>
        <v/>
      </c>
      <c r="E127" s="102" t="str">
        <f>IFERROR(INDEX('I2015'!C$5:C$73,MATCH($C127,'I2015'!$A$5:$A$73,0)),"")</f>
        <v/>
      </c>
      <c r="F127" s="102" t="str">
        <f>IFERROR(INDEX('I2015'!D$5:D$73,MATCH($C127,'I2015'!$A$5:$A$73,0)),"")</f>
        <v/>
      </c>
      <c r="G127" s="102" t="str">
        <f>IFERROR(INDEX('I2015'!E$5:E$73,MATCH($C127,'I2015'!$A$5:$A$73,0)),"")</f>
        <v/>
      </c>
      <c r="H127" s="102" t="str">
        <f>IFERROR(INDEX('I2015'!F$5:F$73,MATCH($C127,'I2015'!$A$5:$A$73,0)),"")</f>
        <v/>
      </c>
      <c r="I127" s="102" t="str">
        <f>IFERROR(INDEX('I2015'!G$5:G$73,MATCH($C127,'I2015'!$A$5:$A$73,0)),"")</f>
        <v/>
      </c>
      <c r="J127" s="102" t="str">
        <f>IFERROR(INDEX('I2015'!H$5:H$73,MATCH($C127,'I2015'!$A$5:$A$73,0)),"")</f>
        <v/>
      </c>
      <c r="K127" s="102" t="str">
        <f>IFERROR(INDEX('I2015'!I$5:I$73,MATCH($C127,'I2015'!$A$5:$A$73,0)),"")</f>
        <v/>
      </c>
      <c r="L127" s="102" t="str">
        <f>IFERROR(INDEX('I2015'!J$5:J$73,MATCH($C127,'I2015'!$A$5:$A$73,0)),"")</f>
        <v/>
      </c>
      <c r="M127" s="102" t="str">
        <f>IFERROR(INDEX('I2015'!K$5:K$73,MATCH($C127,'I2015'!$A$5:$A$73,0)),"")</f>
        <v/>
      </c>
      <c r="N127" s="102" t="str">
        <f>IFERROR(INDEX('I2015'!L$5:L$73,MATCH($C127,'I2015'!$A$5:$A$73,0)),"")</f>
        <v/>
      </c>
      <c r="O127" s="102" t="str">
        <f>IFERROR(INDEX('I2015'!M$5:M$73,MATCH($C127,'I2015'!$A$5:$A$73,0)),"")</f>
        <v/>
      </c>
      <c r="P127" s="102" t="str">
        <f>IFERROR(INDEX('I2016'!B$5:B$90,MATCH($C127,'I2016'!$A$5:$A$90,0)),"")</f>
        <v/>
      </c>
      <c r="Q127" s="102" t="str">
        <f>IFERROR(INDEX('I2016'!C$5:C$90,MATCH($C127,'I2016'!$A$5:$A$90,0)),"")</f>
        <v/>
      </c>
      <c r="R127" s="102" t="str">
        <f>IFERROR(INDEX('I2016'!D$5:D$90,MATCH($C127,'I2016'!$A$5:$A$90,0)),"")</f>
        <v/>
      </c>
      <c r="S127" s="102" t="str">
        <f>IFERROR(INDEX('I2016'!E$5:E$90,MATCH($C127,'I2016'!$A$5:$A$90,0)),"")</f>
        <v/>
      </c>
      <c r="T127" s="102" t="str">
        <f>IFERROR(INDEX('I2016'!F$5:F$90,MATCH($C127,'I2016'!$A$5:$A$90,0)),"")</f>
        <v/>
      </c>
      <c r="U127" s="102" t="str">
        <f>IFERROR(INDEX('I2016'!G$5:G$90,MATCH($C127,'I2016'!$A$5:$A$90,0)),"")</f>
        <v/>
      </c>
      <c r="V127" s="102" t="str">
        <f>IFERROR(INDEX('I2016'!H$5:H$90,MATCH($C127,'I2016'!$A$5:$A$90,0)),"")</f>
        <v/>
      </c>
      <c r="W127" s="102" t="str">
        <f>IFERROR(INDEX('I2016'!I$5:I$90,MATCH($C127,'I2016'!$A$5:$A$90,0)),"")</f>
        <v/>
      </c>
      <c r="X127" s="102" t="str">
        <f>IFERROR(INDEX('I2016'!J$5:J$90,MATCH($C127,'I2016'!$A$5:$A$90,0)),"")</f>
        <v/>
      </c>
      <c r="Y127" s="102" t="str">
        <f>IFERROR(INDEX('I2016'!K$5:K$90,MATCH($C127,'I2016'!$A$5:$A$90,0)),"")</f>
        <v/>
      </c>
      <c r="Z127" s="102" t="str">
        <f>IFERROR(INDEX('I2016'!L$5:L$90,MATCH($C127,'I2016'!$A$5:$A$90,0)),"")</f>
        <v/>
      </c>
      <c r="AA127" s="102" t="str">
        <f>IFERROR(INDEX('I2016'!M$5:M$90,MATCH($C127,'I2016'!$A$5:$A$90,0)),"")</f>
        <v/>
      </c>
      <c r="AB127" s="102">
        <f>IFERROR(INDEX('I2017'!B$5:B$96,MATCH($C127,'I2017'!$A$5:$A$96,0)),"")</f>
        <v>0</v>
      </c>
      <c r="AC127" s="102">
        <f>IFERROR(INDEX('I2017'!C$5:C$96,MATCH($C127,'I2017'!$A$5:$A$96,0)),"")</f>
        <v>0</v>
      </c>
      <c r="AD127" s="102">
        <f>IFERROR(INDEX('I2017'!D$5:D$96,MATCH($C127,'I2017'!$A$5:$A$96,0)),"")</f>
        <v>0</v>
      </c>
      <c r="AE127" s="102">
        <f>IFERROR(INDEX('I2017'!E$5:E$96,MATCH($C127,'I2017'!$A$5:$A$96,0)),"")</f>
        <v>0</v>
      </c>
      <c r="AF127" s="102">
        <f>IFERROR(INDEX('I2017'!F$5:F$96,MATCH($C127,'I2017'!$A$5:$A$96,0)),"")</f>
        <v>0</v>
      </c>
      <c r="AG127" s="102">
        <f>IFERROR(INDEX('I2017'!G$5:G$96,MATCH($C127,'I2017'!$A$5:$A$96,0)),"")</f>
        <v>0</v>
      </c>
      <c r="AH127" s="102">
        <f>IFERROR(INDEX('I2017'!H$5:H$96,MATCH($C127,'I2017'!$A$5:$A$96,0)),"")</f>
        <v>0</v>
      </c>
      <c r="AI127" s="102">
        <f>IFERROR(INDEX('I2017'!I$5:I$96,MATCH($C127,'I2017'!$A$5:$A$96,0)),"")</f>
        <v>0</v>
      </c>
      <c r="AJ127" s="102">
        <f>IFERROR(INDEX('I2017'!J$5:J$96,MATCH($C127,'I2017'!$A$5:$A$96,0)),"")</f>
        <v>0</v>
      </c>
      <c r="AK127" s="102">
        <f>IFERROR(INDEX('I2017'!K$5:K$96,MATCH($C127,'I2017'!$A$5:$A$96,0)),"")</f>
        <v>0</v>
      </c>
      <c r="AL127" s="102">
        <f>IFERROR(INDEX('I2017'!L$5:L$96,MATCH($C127,'I2017'!$A$5:$A$96,0)),"")</f>
        <v>0</v>
      </c>
      <c r="AM127" s="102">
        <f>IFERROR(INDEX('I2017'!M$5:M$96,MATCH($C127,'I2017'!$A$5:$A$96,0)),"")</f>
        <v>0</v>
      </c>
      <c r="AN127" s="102">
        <f>IFERROR(INDEX('I2018'!B$5:B$107,MATCH($C127,'I2018'!$A$5:$A$107,0)),"")</f>
        <v>0</v>
      </c>
      <c r="AO127" s="102">
        <f>IFERROR(INDEX('I2018'!C$5:C$107,MATCH($C127,'I2018'!$A$5:$A$107,0)),"")</f>
        <v>0</v>
      </c>
      <c r="AP127" s="102">
        <f>IFERROR(INDEX('I2018'!D$5:D$107,MATCH($C127,'I2018'!$A$5:$A$107,0)),"")</f>
        <v>0</v>
      </c>
      <c r="AQ127" s="102">
        <f>IFERROR(INDEX('I2018'!E$5:E$107,MATCH($C127,'I2018'!$A$5:$A$107,0)),"")</f>
        <v>0</v>
      </c>
      <c r="AR127" s="102">
        <f>IFERROR(INDEX('I2018'!F$5:F$107,MATCH($C127,'I2018'!$A$5:$A$107,0)),"")</f>
        <v>0</v>
      </c>
      <c r="AS127" s="102">
        <f>IFERROR(INDEX('I2018'!G$5:G$107,MATCH($C127,'I2018'!$A$5:$A$107,0)),"")</f>
        <v>0</v>
      </c>
      <c r="AT127" s="102">
        <f>IFERROR(INDEX('I2018'!H$5:H$107,MATCH($C127,'I2018'!$A$5:$A$107,0)),"")</f>
        <v>0</v>
      </c>
      <c r="AU127" s="102">
        <f>IFERROR(INDEX('I2018'!I$5:I$107,MATCH($C127,'I2018'!$A$5:$A$107,0)),"")</f>
        <v>0</v>
      </c>
      <c r="AV127" s="102">
        <f>IFERROR(INDEX('I2018'!J$5:J$107,MATCH($C127,'I2018'!$A$5:$A$107,0)),"")</f>
        <v>0</v>
      </c>
      <c r="AW127" s="102">
        <f>IFERROR(INDEX('I2018'!K$5:K$107,MATCH($C127,'I2018'!$A$5:$A$107,0)),"")</f>
        <v>0</v>
      </c>
      <c r="AX127" s="102">
        <f>IFERROR(INDEX('I2018'!L$5:L$107,MATCH($C127,'I2018'!$A$5:$A$107,0)),"")</f>
        <v>0</v>
      </c>
      <c r="AY127" s="102">
        <f>IFERROR(INDEX('I2018'!M$5:M$107,MATCH($C127,'I2018'!$A$5:$A$107,0)),"")</f>
        <v>0</v>
      </c>
      <c r="AZ127" s="102">
        <f>IFERROR(INDEX('I2019'!B$5:B$112,MATCH($C127,'I2019'!$A$5:$A$112,0)),"")</f>
        <v>0</v>
      </c>
      <c r="BA127" s="102">
        <f>IFERROR(INDEX('I2019'!C$5:C$112,MATCH($C127,'I2019'!$A$5:$A$112,0)),"")</f>
        <v>0</v>
      </c>
      <c r="BB127" s="102">
        <f>IFERROR(INDEX('I2019'!D$5:D$112,MATCH($C127,'I2019'!$A$5:$A$112,0)),"")</f>
        <v>0</v>
      </c>
      <c r="BC127" s="102">
        <f>IFERROR(INDEX('I2019'!E$5:E$112,MATCH($C127,'I2019'!$A$5:$A$112,0)),"")</f>
        <v>0</v>
      </c>
      <c r="BD127" s="102">
        <f>IFERROR(INDEX('I2019'!F$5:F$112,MATCH($C127,'I2019'!$A$5:$A$112,0)),"")</f>
        <v>0</v>
      </c>
      <c r="BE127" s="102">
        <f>IFERROR(INDEX('I2019'!G$5:G$112,MATCH($C127,'I2019'!$A$5:$A$112,0)),"")</f>
        <v>0</v>
      </c>
      <c r="BF127" s="102">
        <f>IFERROR(INDEX('I2019'!H$5:H$112,MATCH($C127,'I2019'!$A$5:$A$112,0)),"")</f>
        <v>0</v>
      </c>
      <c r="BG127" s="102">
        <f>IFERROR(INDEX('I2019'!I$5:I$112,MATCH($C127,'I2019'!$A$5:$A$112,0)),"")</f>
        <v>0</v>
      </c>
      <c r="BH127" s="102">
        <f>IFERROR(INDEX('I2019'!J$5:J$112,MATCH($C127,'I2019'!$A$5:$A$112,0)),"")</f>
        <v>0</v>
      </c>
      <c r="BI127" s="102">
        <f>IFERROR(INDEX('I2019'!K$5:K$112,MATCH($C127,'I2019'!$A$5:$A$112,0)),"")</f>
        <v>0</v>
      </c>
      <c r="BJ127" s="102">
        <f>IFERROR(INDEX('I2019'!L$5:L$112,MATCH($C127,'I2019'!$A$5:$A$112,0)),"")</f>
        <v>0</v>
      </c>
      <c r="BK127" s="102">
        <f>IFERROR(INDEX('I2019'!M$5:M$112,MATCH($C127,'I2019'!$A$5:$A$112,0)),"")</f>
        <v>0</v>
      </c>
      <c r="BL127" s="102">
        <f>IFERROR(INDEX('I2020'!B$5:B$113,MATCH($C127,'I2020'!$A$5:$A$113,0)),"")</f>
        <v>0</v>
      </c>
      <c r="BM127" s="102">
        <f>IFERROR(INDEX('I2020'!C$5:C$113,MATCH($C127,'I2020'!$A$5:$A$113,0)),"")</f>
        <v>0</v>
      </c>
      <c r="BN127" s="102">
        <f>IFERROR(INDEX('I2020'!D$5:D$113,MATCH($C127,'I2020'!$A$5:$A$113,0)),"")</f>
        <v>0</v>
      </c>
      <c r="BO127" s="102">
        <f>IFERROR(INDEX('I2020'!E$5:E$113,MATCH($C127,'I2020'!$A$5:$A$113,0)),"")</f>
        <v>0</v>
      </c>
      <c r="BP127" s="102">
        <f>IFERROR(INDEX('I2020'!F$5:F$113,MATCH($C127,'I2020'!$A$5:$A$113,0)),"")</f>
        <v>0</v>
      </c>
      <c r="BQ127" s="392">
        <f>IFERROR(INDEX('I2020'!G$5:G$113,MATCH($C127,'I2020'!$A$5:$A$113,0)),"")</f>
        <v>0</v>
      </c>
      <c r="BR127" s="64"/>
      <c r="BS127" s="64"/>
      <c r="BT127" s="64"/>
      <c r="BU127" s="64"/>
      <c r="BV127" s="64"/>
      <c r="BW127" s="64"/>
      <c r="BX127" s="64"/>
      <c r="BY127" s="64"/>
      <c r="BZ127" s="64"/>
      <c r="CA127" s="64"/>
      <c r="CB127" s="64"/>
      <c r="CC127" s="64"/>
      <c r="CD127" s="64"/>
      <c r="CE127" s="64"/>
      <c r="CF127" s="64"/>
      <c r="CG127" s="64"/>
      <c r="CH127" s="64"/>
      <c r="CI127" s="124"/>
      <c r="CJ127" s="134"/>
    </row>
    <row r="128" spans="1:88" x14ac:dyDescent="0.3">
      <c r="A128" s="33"/>
      <c r="B128" s="68"/>
      <c r="C128" s="21" t="s">
        <v>93</v>
      </c>
      <c r="D128" s="22" t="str">
        <f>IFERROR(INDEX('I2015'!B$5:B$73,MATCH($C128,'I2015'!$A$5:$A$73,0)),"")</f>
        <v/>
      </c>
      <c r="E128" s="22" t="str">
        <f>IFERROR(INDEX('I2015'!C$5:C$73,MATCH($C128,'I2015'!$A$5:$A$73,0)),"")</f>
        <v/>
      </c>
      <c r="F128" s="22" t="str">
        <f>IFERROR(INDEX('I2015'!D$5:D$73,MATCH($C128,'I2015'!$A$5:$A$73,0)),"")</f>
        <v/>
      </c>
      <c r="G128" s="22" t="str">
        <f>IFERROR(INDEX('I2015'!E$5:E$73,MATCH($C128,'I2015'!$A$5:$A$73,0)),"")</f>
        <v/>
      </c>
      <c r="H128" s="22" t="str">
        <f>IFERROR(INDEX('I2015'!F$5:F$73,MATCH($C128,'I2015'!$A$5:$A$73,0)),"")</f>
        <v/>
      </c>
      <c r="I128" s="22" t="str">
        <f>IFERROR(INDEX('I2015'!G$5:G$73,MATCH($C128,'I2015'!$A$5:$A$73,0)),"")</f>
        <v/>
      </c>
      <c r="J128" s="22" t="str">
        <f>IFERROR(INDEX('I2015'!H$5:H$73,MATCH($C128,'I2015'!$A$5:$A$73,0)),"")</f>
        <v/>
      </c>
      <c r="K128" s="22" t="str">
        <f>IFERROR(INDEX('I2015'!I$5:I$73,MATCH($C128,'I2015'!$A$5:$A$73,0)),"")</f>
        <v/>
      </c>
      <c r="L128" s="22" t="str">
        <f>IFERROR(INDEX('I2015'!J$5:J$73,MATCH($C128,'I2015'!$A$5:$A$73,0)),"")</f>
        <v/>
      </c>
      <c r="M128" s="22" t="str">
        <f>IFERROR(INDEX('I2015'!K$5:K$73,MATCH($C128,'I2015'!$A$5:$A$73,0)),"")</f>
        <v/>
      </c>
      <c r="N128" s="22" t="str">
        <f>IFERROR(INDEX('I2015'!L$5:L$73,MATCH($C128,'I2015'!$A$5:$A$73,0)),"")</f>
        <v/>
      </c>
      <c r="O128" s="22" t="str">
        <f>IFERROR(INDEX('I2015'!M$5:M$73,MATCH($C128,'I2015'!$A$5:$A$73,0)),"")</f>
        <v/>
      </c>
      <c r="P128" s="22" t="str">
        <f>IFERROR(INDEX('I2016'!B$5:B$90,MATCH($C128,'I2016'!$A$5:$A$90,0)),"")</f>
        <v/>
      </c>
      <c r="Q128" s="22" t="str">
        <f>IFERROR(INDEX('I2016'!C$5:C$90,MATCH($C128,'I2016'!$A$5:$A$90,0)),"")</f>
        <v/>
      </c>
      <c r="R128" s="22" t="str">
        <f>IFERROR(INDEX('I2016'!D$5:D$90,MATCH($C128,'I2016'!$A$5:$A$90,0)),"")</f>
        <v/>
      </c>
      <c r="S128" s="22" t="str">
        <f>IFERROR(INDEX('I2016'!E$5:E$90,MATCH($C128,'I2016'!$A$5:$A$90,0)),"")</f>
        <v/>
      </c>
      <c r="T128" s="22" t="str">
        <f>IFERROR(INDEX('I2016'!F$5:F$90,MATCH($C128,'I2016'!$A$5:$A$90,0)),"")</f>
        <v/>
      </c>
      <c r="U128" s="22" t="str">
        <f>IFERROR(INDEX('I2016'!G$5:G$90,MATCH($C128,'I2016'!$A$5:$A$90,0)),"")</f>
        <v/>
      </c>
      <c r="V128" s="22" t="str">
        <f>IFERROR(INDEX('I2016'!H$5:H$90,MATCH($C128,'I2016'!$A$5:$A$90,0)),"")</f>
        <v/>
      </c>
      <c r="W128" s="22" t="str">
        <f>IFERROR(INDEX('I2016'!I$5:I$90,MATCH($C128,'I2016'!$A$5:$A$90,0)),"")</f>
        <v/>
      </c>
      <c r="X128" s="22" t="str">
        <f>IFERROR(INDEX('I2016'!J$5:J$90,MATCH($C128,'I2016'!$A$5:$A$90,0)),"")</f>
        <v/>
      </c>
      <c r="Y128" s="22" t="str">
        <f>IFERROR(INDEX('I2016'!K$5:K$90,MATCH($C128,'I2016'!$A$5:$A$90,0)),"")</f>
        <v/>
      </c>
      <c r="Z128" s="22" t="str">
        <f>IFERROR(INDEX('I2016'!L$5:L$90,MATCH($C128,'I2016'!$A$5:$A$90,0)),"")</f>
        <v/>
      </c>
      <c r="AA128" s="22" t="str">
        <f>IFERROR(INDEX('I2016'!M$5:M$90,MATCH($C128,'I2016'!$A$5:$A$90,0)),"")</f>
        <v/>
      </c>
      <c r="AB128" s="22">
        <f>IFERROR(INDEX('I2017'!B$5:B$96,MATCH($C128,'I2017'!$A$5:$A$96,0)),"")</f>
        <v>0</v>
      </c>
      <c r="AC128" s="22">
        <f>IFERROR(INDEX('I2017'!C$5:C$96,MATCH($C128,'I2017'!$A$5:$A$96,0)),"")</f>
        <v>0</v>
      </c>
      <c r="AD128" s="22">
        <f>IFERROR(INDEX('I2017'!D$5:D$96,MATCH($C128,'I2017'!$A$5:$A$96,0)),"")</f>
        <v>0</v>
      </c>
      <c r="AE128" s="22">
        <f>IFERROR(INDEX('I2017'!E$5:E$96,MATCH($C128,'I2017'!$A$5:$A$96,0)),"")</f>
        <v>0</v>
      </c>
      <c r="AF128" s="22">
        <f>IFERROR(INDEX('I2017'!F$5:F$96,MATCH($C128,'I2017'!$A$5:$A$96,0)),"")</f>
        <v>0</v>
      </c>
      <c r="AG128" s="22">
        <f>IFERROR(INDEX('I2017'!G$5:G$96,MATCH($C128,'I2017'!$A$5:$A$96,0)),"")</f>
        <v>1316</v>
      </c>
      <c r="AH128" s="22">
        <f>IFERROR(INDEX('I2017'!H$5:H$96,MATCH($C128,'I2017'!$A$5:$A$96,0)),"")</f>
        <v>1327</v>
      </c>
      <c r="AI128" s="22">
        <f>IFERROR(INDEX('I2017'!I$5:I$96,MATCH($C128,'I2017'!$A$5:$A$96,0)),"")</f>
        <v>1798</v>
      </c>
      <c r="AJ128" s="22">
        <f>IFERROR(INDEX('I2017'!J$5:J$96,MATCH($C128,'I2017'!$A$5:$A$96,0)),"")</f>
        <v>1533.25</v>
      </c>
      <c r="AK128" s="22">
        <f>IFERROR(INDEX('I2017'!K$5:K$96,MATCH($C128,'I2017'!$A$5:$A$96,0)),"")</f>
        <v>1904.5</v>
      </c>
      <c r="AL128" s="22">
        <f>IFERROR(INDEX('I2017'!L$5:L$96,MATCH($C128,'I2017'!$A$5:$A$96,0)),"")</f>
        <v>1431</v>
      </c>
      <c r="AM128" s="22">
        <f>IFERROR(INDEX('I2017'!M$5:M$96,MATCH($C128,'I2017'!$A$5:$A$96,0)),"")</f>
        <v>1637</v>
      </c>
      <c r="AN128" s="22">
        <f>IFERROR(INDEX('I2018'!B$5:B$107,MATCH($C128,'I2018'!$A$5:$A$107,0)),"")</f>
        <v>1415</v>
      </c>
      <c r="AO128" s="22">
        <f>IFERROR(INDEX('I2018'!C$5:C$107,MATCH($C128,'I2018'!$A$5:$A$107,0)),"")</f>
        <v>1440</v>
      </c>
      <c r="AP128" s="22">
        <f>IFERROR(INDEX('I2018'!D$5:D$107,MATCH($C128,'I2018'!$A$5:$A$107,0)),"")</f>
        <v>2616.75</v>
      </c>
      <c r="AQ128" s="22">
        <f>IFERROR(INDEX('I2018'!E$5:E$107,MATCH($C128,'I2018'!$A$5:$A$107,0)),"")</f>
        <v>3911.42</v>
      </c>
      <c r="AR128" s="22">
        <f>IFERROR(INDEX('I2018'!F$5:F$107,MATCH($C128,'I2018'!$A$5:$A$107,0)),"")</f>
        <v>3276.91</v>
      </c>
      <c r="AS128" s="22">
        <f>IFERROR(INDEX('I2018'!G$5:G$107,MATCH($C128,'I2018'!$A$5:$A$107,0)),"")</f>
        <v>4369.09</v>
      </c>
      <c r="AT128" s="22">
        <f>IFERROR(INDEX('I2018'!H$5:H$107,MATCH($C128,'I2018'!$A$5:$A$107,0)),"")</f>
        <v>8183.05</v>
      </c>
      <c r="AU128" s="22">
        <f>IFERROR(INDEX('I2018'!I$5:I$107,MATCH($C128,'I2018'!$A$5:$A$107,0)),"")</f>
        <v>8352.58</v>
      </c>
      <c r="AV128" s="22">
        <f>IFERROR(INDEX('I2018'!J$5:J$107,MATCH($C128,'I2018'!$A$5:$A$107,0)),"")</f>
        <v>18178</v>
      </c>
      <c r="AW128" s="22">
        <f>IFERROR(INDEX('I2018'!K$5:K$107,MATCH($C128,'I2018'!$A$5:$A$107,0)),"")</f>
        <v>20453.599999999999</v>
      </c>
      <c r="AX128" s="22">
        <f>IFERROR(INDEX('I2018'!L$5:L$107,MATCH($C128,'I2018'!$A$5:$A$107,0)),"")</f>
        <v>22682.54</v>
      </c>
      <c r="AY128" s="22">
        <f>IFERROR(INDEX('I2018'!M$5:M$107,MATCH($C128,'I2018'!$A$5:$A$107,0)),"")</f>
        <v>25562.41</v>
      </c>
      <c r="AZ128" s="22">
        <f>IFERROR(INDEX('I2019'!B$5:B$112,MATCH($C128,'I2019'!$A$5:$A$112,0)),"")</f>
        <v>27830.71</v>
      </c>
      <c r="BA128" s="22">
        <f>IFERROR(INDEX('I2019'!C$5:C$112,MATCH($C128,'I2019'!$A$5:$A$112,0)),"")</f>
        <v>22698.97</v>
      </c>
      <c r="BB128" s="22">
        <f>IFERROR(INDEX('I2019'!D$5:D$112,MATCH($C128,'I2019'!$A$5:$A$112,0)),"")</f>
        <v>22535.83</v>
      </c>
      <c r="BC128" s="22">
        <f>IFERROR(INDEX('I2019'!E$5:E$112,MATCH($C128,'I2019'!$A$5:$A$112,0)),"")</f>
        <v>27358.98</v>
      </c>
      <c r="BD128" s="22">
        <f>IFERROR(INDEX('I2019'!F$5:F$112,MATCH($C128,'I2019'!$A$5:$A$112,0)),"")</f>
        <v>18402.43</v>
      </c>
      <c r="BE128" s="22">
        <f>IFERROR(INDEX('I2019'!G$5:G$112,MATCH($C128,'I2019'!$A$5:$A$112,0)),"")</f>
        <v>18600.48</v>
      </c>
      <c r="BF128" s="22">
        <f>IFERROR(INDEX('I2019'!H$5:H$112,MATCH($C128,'I2019'!$A$5:$A$112,0)),"")</f>
        <v>25853.15</v>
      </c>
      <c r="BG128" s="22">
        <f>IFERROR(INDEX('I2019'!I$5:I$112,MATCH($C128,'I2019'!$A$5:$A$112,0)),"")</f>
        <v>20941.96</v>
      </c>
      <c r="BH128" s="22">
        <f>IFERROR(INDEX('I2019'!J$5:J$112,MATCH($C128,'I2019'!$A$5:$A$112,0)),"")</f>
        <v>22551.32</v>
      </c>
      <c r="BI128" s="22">
        <f>IFERROR(INDEX('I2019'!K$5:K$112,MATCH($C128,'I2019'!$A$5:$A$112,0)),"")</f>
        <v>32028.14</v>
      </c>
      <c r="BJ128" s="22">
        <f>IFERROR(INDEX('I2019'!L$5:L$112,MATCH($C128,'I2019'!$A$5:$A$112,0)),"")</f>
        <v>25123.61</v>
      </c>
      <c r="BK128" s="22">
        <f>IFERROR(INDEX('I2019'!M$5:M$112,MATCH($C128,'I2019'!$A$5:$A$112,0)),"")</f>
        <v>30252.09</v>
      </c>
      <c r="BL128" s="22">
        <f>IFERROR(INDEX('I2020'!B$5:B$113,MATCH($C128,'I2020'!$A$5:$A$113,0)),"")</f>
        <v>25475.02</v>
      </c>
      <c r="BM128" s="22">
        <f>IFERROR(INDEX('I2020'!C$5:C$113,MATCH($C128,'I2020'!$A$5:$A$113,0)),"")</f>
        <v>25255.93</v>
      </c>
      <c r="BN128" s="22">
        <f>IFERROR(INDEX('I2020'!D$5:D$113,MATCH($C128,'I2020'!$A$5:$A$113,0)),"")</f>
        <v>29928.58</v>
      </c>
      <c r="BO128" s="22">
        <f>IFERROR(INDEX('I2020'!E$5:E$113,MATCH($C128,'I2020'!$A$5:$A$113,0)),"")</f>
        <v>22436.84</v>
      </c>
      <c r="BP128" s="22">
        <f>IFERROR(INDEX('I2020'!F$5:F$113,MATCH($C128,'I2020'!$A$5:$A$113,0)),"")</f>
        <v>21918.28</v>
      </c>
      <c r="BQ128" s="393">
        <f>IFERROR(INDEX('I2020'!G$5:G$113,MATCH($C128,'I2020'!$A$5:$A$113,0)),"")</f>
        <v>36444.26</v>
      </c>
      <c r="BR128" s="65"/>
      <c r="BS128" s="65"/>
      <c r="BT128" s="65"/>
      <c r="BU128" s="65"/>
      <c r="BV128" s="65"/>
      <c r="BW128" s="65"/>
      <c r="BX128" s="65"/>
      <c r="BY128" s="65"/>
      <c r="BZ128" s="65"/>
      <c r="CA128" s="65"/>
      <c r="CB128" s="65"/>
      <c r="CC128" s="65"/>
      <c r="CD128" s="65"/>
      <c r="CE128" s="65"/>
      <c r="CF128" s="65"/>
      <c r="CG128" s="65"/>
      <c r="CH128" s="65"/>
      <c r="CI128" s="125"/>
      <c r="CJ128" s="134"/>
    </row>
    <row r="129" spans="1:88" x14ac:dyDescent="0.3">
      <c r="A129" s="33" t="s">
        <v>461</v>
      </c>
      <c r="B129" s="170">
        <v>1.2E-2</v>
      </c>
      <c r="C129" s="26" t="s">
        <v>94</v>
      </c>
      <c r="D129" s="78" t="str">
        <f>IFERROR(INDEX('I2015'!B$5:B$73,MATCH($C129,'I2015'!$A$5:$A$73,0)),"")</f>
        <v/>
      </c>
      <c r="E129" s="78" t="str">
        <f>IFERROR(INDEX('I2015'!C$5:C$73,MATCH($C129,'I2015'!$A$5:$A$73,0)),"")</f>
        <v/>
      </c>
      <c r="F129" s="78" t="str">
        <f>IFERROR(INDEX('I2015'!D$5:D$73,MATCH($C129,'I2015'!$A$5:$A$73,0)),"")</f>
        <v/>
      </c>
      <c r="G129" s="78" t="str">
        <f>IFERROR(INDEX('I2015'!E$5:E$73,MATCH($C129,'I2015'!$A$5:$A$73,0)),"")</f>
        <v/>
      </c>
      <c r="H129" s="78" t="str">
        <f>IFERROR(INDEX('I2015'!F$5:F$73,MATCH($C129,'I2015'!$A$5:$A$73,0)),"")</f>
        <v/>
      </c>
      <c r="I129" s="78" t="str">
        <f>IFERROR(INDEX('I2015'!G$5:G$73,MATCH($C129,'I2015'!$A$5:$A$73,0)),"")</f>
        <v/>
      </c>
      <c r="J129" s="78" t="str">
        <f>IFERROR(INDEX('I2015'!H$5:H$73,MATCH($C129,'I2015'!$A$5:$A$73,0)),"")</f>
        <v/>
      </c>
      <c r="K129" s="78" t="str">
        <f>IFERROR(INDEX('I2015'!I$5:I$73,MATCH($C129,'I2015'!$A$5:$A$73,0)),"")</f>
        <v/>
      </c>
      <c r="L129" s="78" t="str">
        <f>IFERROR(INDEX('I2015'!J$5:J$73,MATCH($C129,'I2015'!$A$5:$A$73,0)),"")</f>
        <v/>
      </c>
      <c r="M129" s="78" t="str">
        <f>IFERROR(INDEX('I2015'!K$5:K$73,MATCH($C129,'I2015'!$A$5:$A$73,0)),"")</f>
        <v/>
      </c>
      <c r="N129" s="78" t="str">
        <f>IFERROR(INDEX('I2015'!L$5:L$73,MATCH($C129,'I2015'!$A$5:$A$73,0)),"")</f>
        <v/>
      </c>
      <c r="O129" s="78" t="str">
        <f>IFERROR(INDEX('I2015'!M$5:M$73,MATCH($C129,'I2015'!$A$5:$A$73,0)),"")</f>
        <v/>
      </c>
      <c r="P129" s="78" t="str">
        <f>IFERROR(INDEX('I2016'!B$5:B$90,MATCH($C129,'I2016'!$A$5:$A$90,0)),"")</f>
        <v/>
      </c>
      <c r="Q129" s="78" t="str">
        <f>IFERROR(INDEX('I2016'!C$5:C$90,MATCH($C129,'I2016'!$A$5:$A$90,0)),"")</f>
        <v/>
      </c>
      <c r="R129" s="78" t="str">
        <f>IFERROR(INDEX('I2016'!D$5:D$90,MATCH($C129,'I2016'!$A$5:$A$90,0)),"")</f>
        <v/>
      </c>
      <c r="S129" s="78" t="str">
        <f>IFERROR(INDEX('I2016'!E$5:E$90,MATCH($C129,'I2016'!$A$5:$A$90,0)),"")</f>
        <v/>
      </c>
      <c r="T129" s="78" t="str">
        <f>IFERROR(INDEX('I2016'!F$5:F$90,MATCH($C129,'I2016'!$A$5:$A$90,0)),"")</f>
        <v/>
      </c>
      <c r="U129" s="78" t="str">
        <f>IFERROR(INDEX('I2016'!G$5:G$90,MATCH($C129,'I2016'!$A$5:$A$90,0)),"")</f>
        <v/>
      </c>
      <c r="V129" s="78" t="str">
        <f>IFERROR(INDEX('I2016'!H$5:H$90,MATCH($C129,'I2016'!$A$5:$A$90,0)),"")</f>
        <v/>
      </c>
      <c r="W129" s="78" t="str">
        <f>IFERROR(INDEX('I2016'!I$5:I$90,MATCH($C129,'I2016'!$A$5:$A$90,0)),"")</f>
        <v/>
      </c>
      <c r="X129" s="78" t="str">
        <f>IFERROR(INDEX('I2016'!J$5:J$90,MATCH($C129,'I2016'!$A$5:$A$90,0)),"")</f>
        <v/>
      </c>
      <c r="Y129" s="78" t="str">
        <f>IFERROR(INDEX('I2016'!K$5:K$90,MATCH($C129,'I2016'!$A$5:$A$90,0)),"")</f>
        <v/>
      </c>
      <c r="Z129" s="78" t="str">
        <f>IFERROR(INDEX('I2016'!L$5:L$90,MATCH($C129,'I2016'!$A$5:$A$90,0)),"")</f>
        <v/>
      </c>
      <c r="AA129" s="78" t="str">
        <f>IFERROR(INDEX('I2016'!M$5:M$90,MATCH($C129,'I2016'!$A$5:$A$90,0)),"")</f>
        <v/>
      </c>
      <c r="AB129" s="78">
        <f>IFERROR(INDEX('I2017'!B$5:B$96,MATCH($C129,'I2017'!$A$5:$A$96,0)),"")</f>
        <v>0</v>
      </c>
      <c r="AC129" s="78">
        <f>IFERROR(INDEX('I2017'!C$5:C$96,MATCH($C129,'I2017'!$A$5:$A$96,0)),"")</f>
        <v>0</v>
      </c>
      <c r="AD129" s="78">
        <f>IFERROR(INDEX('I2017'!D$5:D$96,MATCH($C129,'I2017'!$A$5:$A$96,0)),"")</f>
        <v>0</v>
      </c>
      <c r="AE129" s="78">
        <f>IFERROR(INDEX('I2017'!E$5:E$96,MATCH($C129,'I2017'!$A$5:$A$96,0)),"")</f>
        <v>0</v>
      </c>
      <c r="AF129" s="78">
        <f>IFERROR(INDEX('I2017'!F$5:F$96,MATCH($C129,'I2017'!$A$5:$A$96,0)),"")</f>
        <v>0</v>
      </c>
      <c r="AG129" s="78">
        <f>IFERROR(INDEX('I2017'!G$5:G$96,MATCH($C129,'I2017'!$A$5:$A$96,0)),"")</f>
        <v>1316</v>
      </c>
      <c r="AH129" s="78">
        <f>IFERROR(INDEX('I2017'!H$5:H$96,MATCH($C129,'I2017'!$A$5:$A$96,0)),"")</f>
        <v>1327</v>
      </c>
      <c r="AI129" s="78">
        <f>IFERROR(INDEX('I2017'!I$5:I$96,MATCH($C129,'I2017'!$A$5:$A$96,0)),"")</f>
        <v>1798</v>
      </c>
      <c r="AJ129" s="78">
        <f>IFERROR(INDEX('I2017'!J$5:J$96,MATCH($C129,'I2017'!$A$5:$A$96,0)),"")</f>
        <v>1533.25</v>
      </c>
      <c r="AK129" s="78">
        <f>IFERROR(INDEX('I2017'!K$5:K$96,MATCH($C129,'I2017'!$A$5:$A$96,0)),"")</f>
        <v>1904.5</v>
      </c>
      <c r="AL129" s="78">
        <f>IFERROR(INDEX('I2017'!L$5:L$96,MATCH($C129,'I2017'!$A$5:$A$96,0)),"")</f>
        <v>1431</v>
      </c>
      <c r="AM129" s="78">
        <f>IFERROR(INDEX('I2017'!M$5:M$96,MATCH($C129,'I2017'!$A$5:$A$96,0)),"")</f>
        <v>1637</v>
      </c>
      <c r="AN129" s="78">
        <f>IFERROR(INDEX('I2018'!B$5:B$107,MATCH($C129,'I2018'!$A$5:$A$107,0)),"")</f>
        <v>1415</v>
      </c>
      <c r="AO129" s="78">
        <f>IFERROR(INDEX('I2018'!C$5:C$107,MATCH($C129,'I2018'!$A$5:$A$107,0)),"")</f>
        <v>1440</v>
      </c>
      <c r="AP129" s="78">
        <f>IFERROR(INDEX('I2018'!D$5:D$107,MATCH($C129,'I2018'!$A$5:$A$107,0)),"")</f>
        <v>2616.75</v>
      </c>
      <c r="AQ129" s="78">
        <f>IFERROR(INDEX('I2018'!E$5:E$107,MATCH($C129,'I2018'!$A$5:$A$107,0)),"")</f>
        <v>3911.42</v>
      </c>
      <c r="AR129" s="78">
        <f>IFERROR(INDEX('I2018'!F$5:F$107,MATCH($C129,'I2018'!$A$5:$A$107,0)),"")</f>
        <v>3276.91</v>
      </c>
      <c r="AS129" s="78">
        <f>IFERROR(INDEX('I2018'!G$5:G$107,MATCH($C129,'I2018'!$A$5:$A$107,0)),"")</f>
        <v>4369.09</v>
      </c>
      <c r="AT129" s="78">
        <f>IFERROR(INDEX('I2018'!H$5:H$107,MATCH($C129,'I2018'!$A$5:$A$107,0)),"")</f>
        <v>8183.05</v>
      </c>
      <c r="AU129" s="78">
        <f>IFERROR(INDEX('I2018'!I$5:I$107,MATCH($C129,'I2018'!$A$5:$A$107,0)),"")</f>
        <v>8352.58</v>
      </c>
      <c r="AV129" s="78">
        <f>IFERROR(INDEX('I2018'!J$5:J$107,MATCH($C129,'I2018'!$A$5:$A$107,0)),"")</f>
        <v>18178</v>
      </c>
      <c r="AW129" s="78">
        <f>IFERROR(INDEX('I2018'!K$5:K$107,MATCH($C129,'I2018'!$A$5:$A$107,0)),"")</f>
        <v>20453.599999999999</v>
      </c>
      <c r="AX129" s="78">
        <f>IFERROR(INDEX('I2018'!L$5:L$107,MATCH($C129,'I2018'!$A$5:$A$107,0)),"")</f>
        <v>22682.54</v>
      </c>
      <c r="AY129" s="78">
        <f>IFERROR(INDEX('I2018'!M$5:M$107,MATCH($C129,'I2018'!$A$5:$A$107,0)),"")</f>
        <v>25562.41</v>
      </c>
      <c r="AZ129" s="78">
        <f>IFERROR(INDEX('I2019'!B$5:B$112,MATCH($C129,'I2019'!$A$5:$A$112,0)),"")</f>
        <v>27830.71</v>
      </c>
      <c r="BA129" s="78">
        <f>IFERROR(INDEX('I2019'!C$5:C$112,MATCH($C129,'I2019'!$A$5:$A$112,0)),"")</f>
        <v>22698.97</v>
      </c>
      <c r="BB129" s="78">
        <f>IFERROR(INDEX('I2019'!D$5:D$112,MATCH($C129,'I2019'!$A$5:$A$112,0)),"")</f>
        <v>22535.83</v>
      </c>
      <c r="BC129" s="78">
        <f>IFERROR(INDEX('I2019'!E$5:E$112,MATCH($C129,'I2019'!$A$5:$A$112,0)),"")</f>
        <v>27358.98</v>
      </c>
      <c r="BD129" s="78">
        <f>IFERROR(INDEX('I2019'!F$5:F$112,MATCH($C129,'I2019'!$A$5:$A$112,0)),"")</f>
        <v>18402.43</v>
      </c>
      <c r="BE129" s="78">
        <f>IFERROR(INDEX('I2019'!G$5:G$112,MATCH($C129,'I2019'!$A$5:$A$112,0)),"")</f>
        <v>18600.48</v>
      </c>
      <c r="BF129" s="78">
        <f>IFERROR(INDEX('I2019'!H$5:H$112,MATCH($C129,'I2019'!$A$5:$A$112,0)),"")</f>
        <v>25853.15</v>
      </c>
      <c r="BG129" s="78">
        <f>IFERROR(INDEX('I2019'!I$5:I$112,MATCH($C129,'I2019'!$A$5:$A$112,0)),"")</f>
        <v>20941.96</v>
      </c>
      <c r="BH129" s="78">
        <f>IFERROR(INDEX('I2019'!J$5:J$112,MATCH($C129,'I2019'!$A$5:$A$112,0)),"")</f>
        <v>22551.32</v>
      </c>
      <c r="BI129" s="78">
        <f>IFERROR(INDEX('I2019'!K$5:K$112,MATCH($C129,'I2019'!$A$5:$A$112,0)),"")</f>
        <v>32028.14</v>
      </c>
      <c r="BJ129" s="78">
        <f>IFERROR(INDEX('I2019'!L$5:L$112,MATCH($C129,'I2019'!$A$5:$A$112,0)),"")</f>
        <v>25123.61</v>
      </c>
      <c r="BK129" s="78">
        <f>IFERROR(INDEX('I2019'!M$5:M$112,MATCH($C129,'I2019'!$A$5:$A$112,0)),"")</f>
        <v>30252.09</v>
      </c>
      <c r="BL129" s="78">
        <f>IFERROR(INDEX('I2020'!B$5:B$113,MATCH($C129,'I2020'!$A$5:$A$113,0)),"")</f>
        <v>25475.02</v>
      </c>
      <c r="BM129" s="78">
        <f>IFERROR(INDEX('I2020'!C$5:C$113,MATCH($C129,'I2020'!$A$5:$A$113,0)),"")</f>
        <v>25255.93</v>
      </c>
      <c r="BN129" s="78">
        <f>IFERROR(INDEX('I2020'!D$5:D$113,MATCH($C129,'I2020'!$A$5:$A$113,0)),"")</f>
        <v>29928.58</v>
      </c>
      <c r="BO129" s="78">
        <f>IFERROR(INDEX('I2020'!E$5:E$113,MATCH($C129,'I2020'!$A$5:$A$113,0)),"")</f>
        <v>22436.84</v>
      </c>
      <c r="BP129" s="78">
        <f>IFERROR(INDEX('I2020'!F$5:F$113,MATCH($C129,'I2020'!$A$5:$A$113,0)),"")</f>
        <v>21918.28</v>
      </c>
      <c r="BQ129" s="398">
        <f>IFERROR(INDEX('I2020'!G$5:G$113,MATCH($C129,'I2020'!$A$5:$A$113,0)),"")</f>
        <v>36444.26</v>
      </c>
      <c r="BR129" s="153">
        <f t="shared" ref="BQ129:CI129" si="99">$B129*BR$31</f>
        <v>33919.087091619847</v>
      </c>
      <c r="BS129" s="153">
        <f t="shared" si="99"/>
        <v>34395.324038412909</v>
      </c>
      <c r="BT129" s="153">
        <f t="shared" si="99"/>
        <v>35211.916857754382</v>
      </c>
      <c r="BU129" s="153">
        <f t="shared" si="99"/>
        <v>36326.930570849006</v>
      </c>
      <c r="BV129" s="153">
        <f t="shared" si="99"/>
        <v>37708.385366403432</v>
      </c>
      <c r="BW129" s="153">
        <f t="shared" si="99"/>
        <v>39332.359657430425</v>
      </c>
      <c r="BX129" s="153">
        <f t="shared" si="99"/>
        <v>40769.023860716647</v>
      </c>
      <c r="BY129" s="153">
        <f t="shared" si="99"/>
        <v>42057.902265367193</v>
      </c>
      <c r="BZ129" s="153">
        <f t="shared" si="99"/>
        <v>43230.645236739547</v>
      </c>
      <c r="CA129" s="153">
        <f t="shared" si="99"/>
        <v>44312.604465204109</v>
      </c>
      <c r="CB129" s="153">
        <f t="shared" si="99"/>
        <v>45324.093172112953</v>
      </c>
      <c r="CC129" s="153">
        <f t="shared" si="99"/>
        <v>46281.394281639266</v>
      </c>
      <c r="CD129" s="153">
        <f t="shared" si="99"/>
        <v>47197.566965419552</v>
      </c>
      <c r="CE129" s="153">
        <f t="shared" si="99"/>
        <v>48083.0918855454</v>
      </c>
      <c r="CF129" s="153">
        <f t="shared" si="99"/>
        <v>48946.387396344231</v>
      </c>
      <c r="CG129" s="153">
        <f t="shared" si="99"/>
        <v>49794.222513301902</v>
      </c>
      <c r="CH129" s="153">
        <f t="shared" si="99"/>
        <v>50632.047295811433</v>
      </c>
      <c r="CI129" s="154">
        <f t="shared" si="99"/>
        <v>51464.257161096619</v>
      </c>
      <c r="CJ129" s="289"/>
    </row>
    <row r="130" spans="1:88" x14ac:dyDescent="0.3">
      <c r="A130" s="33"/>
      <c r="B130" s="68"/>
      <c r="C130" s="21" t="s">
        <v>95</v>
      </c>
      <c r="D130" s="22" t="str">
        <f>IFERROR(INDEX('I2015'!B$5:B$73,MATCH($C130,'I2015'!$A$5:$A$73,0)),"")</f>
        <v/>
      </c>
      <c r="E130" s="22" t="str">
        <f>IFERROR(INDEX('I2015'!C$5:C$73,MATCH($C130,'I2015'!$A$5:$A$73,0)),"")</f>
        <v/>
      </c>
      <c r="F130" s="22" t="str">
        <f>IFERROR(INDEX('I2015'!D$5:D$73,MATCH($C130,'I2015'!$A$5:$A$73,0)),"")</f>
        <v/>
      </c>
      <c r="G130" s="22" t="str">
        <f>IFERROR(INDEX('I2015'!E$5:E$73,MATCH($C130,'I2015'!$A$5:$A$73,0)),"")</f>
        <v/>
      </c>
      <c r="H130" s="22" t="str">
        <f>IFERROR(INDEX('I2015'!F$5:F$73,MATCH($C130,'I2015'!$A$5:$A$73,0)),"")</f>
        <v/>
      </c>
      <c r="I130" s="22" t="str">
        <f>IFERROR(INDEX('I2015'!G$5:G$73,MATCH($C130,'I2015'!$A$5:$A$73,0)),"")</f>
        <v/>
      </c>
      <c r="J130" s="22" t="str">
        <f>IFERROR(INDEX('I2015'!H$5:H$73,MATCH($C130,'I2015'!$A$5:$A$73,0)),"")</f>
        <v/>
      </c>
      <c r="K130" s="22" t="str">
        <f>IFERROR(INDEX('I2015'!I$5:I$73,MATCH($C130,'I2015'!$A$5:$A$73,0)),"")</f>
        <v/>
      </c>
      <c r="L130" s="22" t="str">
        <f>IFERROR(INDEX('I2015'!J$5:J$73,MATCH($C130,'I2015'!$A$5:$A$73,0)),"")</f>
        <v/>
      </c>
      <c r="M130" s="22" t="str">
        <f>IFERROR(INDEX('I2015'!K$5:K$73,MATCH($C130,'I2015'!$A$5:$A$73,0)),"")</f>
        <v/>
      </c>
      <c r="N130" s="22" t="str">
        <f>IFERROR(INDEX('I2015'!L$5:L$73,MATCH($C130,'I2015'!$A$5:$A$73,0)),"")</f>
        <v/>
      </c>
      <c r="O130" s="22" t="str">
        <f>IFERROR(INDEX('I2015'!M$5:M$73,MATCH($C130,'I2015'!$A$5:$A$73,0)),"")</f>
        <v/>
      </c>
      <c r="P130" s="22">
        <f>IFERROR(INDEX('I2016'!B$5:B$90,MATCH($C130,'I2016'!$A$5:$A$90,0)),"")</f>
        <v>0</v>
      </c>
      <c r="Q130" s="22">
        <f>IFERROR(INDEX('I2016'!C$5:C$90,MATCH($C130,'I2016'!$A$5:$A$90,0)),"")</f>
        <v>0</v>
      </c>
      <c r="R130" s="22">
        <f>IFERROR(INDEX('I2016'!D$5:D$90,MATCH($C130,'I2016'!$A$5:$A$90,0)),"")</f>
        <v>0</v>
      </c>
      <c r="S130" s="22">
        <f>IFERROR(INDEX('I2016'!E$5:E$90,MATCH($C130,'I2016'!$A$5:$A$90,0)),"")</f>
        <v>0</v>
      </c>
      <c r="T130" s="22">
        <f>IFERROR(INDEX('I2016'!F$5:F$90,MATCH($C130,'I2016'!$A$5:$A$90,0)),"")</f>
        <v>0</v>
      </c>
      <c r="U130" s="22">
        <f>IFERROR(INDEX('I2016'!G$5:G$90,MATCH($C130,'I2016'!$A$5:$A$90,0)),"")</f>
        <v>0</v>
      </c>
      <c r="V130" s="22">
        <f>IFERROR(INDEX('I2016'!H$5:H$90,MATCH($C130,'I2016'!$A$5:$A$90,0)),"")</f>
        <v>0</v>
      </c>
      <c r="W130" s="22">
        <f>IFERROR(INDEX('I2016'!I$5:I$90,MATCH($C130,'I2016'!$A$5:$A$90,0)),"")</f>
        <v>0</v>
      </c>
      <c r="X130" s="22">
        <f>IFERROR(INDEX('I2016'!J$5:J$90,MATCH($C130,'I2016'!$A$5:$A$90,0)),"")</f>
        <v>0</v>
      </c>
      <c r="Y130" s="22">
        <f>IFERROR(INDEX('I2016'!K$5:K$90,MATCH($C130,'I2016'!$A$5:$A$90,0)),"")</f>
        <v>0</v>
      </c>
      <c r="Z130" s="22">
        <f>IFERROR(INDEX('I2016'!L$5:L$90,MATCH($C130,'I2016'!$A$5:$A$90,0)),"")</f>
        <v>0</v>
      </c>
      <c r="AA130" s="22">
        <f>IFERROR(INDEX('I2016'!M$5:M$90,MATCH($C130,'I2016'!$A$5:$A$90,0)),"")</f>
        <v>0</v>
      </c>
      <c r="AB130" s="22">
        <f>IFERROR(INDEX('I2017'!B$5:B$96,MATCH($C130,'I2017'!$A$5:$A$96,0)),"")</f>
        <v>0</v>
      </c>
      <c r="AC130" s="22">
        <f>IFERROR(INDEX('I2017'!C$5:C$96,MATCH($C130,'I2017'!$A$5:$A$96,0)),"")</f>
        <v>0</v>
      </c>
      <c r="AD130" s="22">
        <f>IFERROR(INDEX('I2017'!D$5:D$96,MATCH($C130,'I2017'!$A$5:$A$96,0)),"")</f>
        <v>0</v>
      </c>
      <c r="AE130" s="22">
        <f>IFERROR(INDEX('I2017'!E$5:E$96,MATCH($C130,'I2017'!$A$5:$A$96,0)),"")</f>
        <v>0</v>
      </c>
      <c r="AF130" s="22">
        <f>IFERROR(INDEX('I2017'!F$5:F$96,MATCH($C130,'I2017'!$A$5:$A$96,0)),"")</f>
        <v>0</v>
      </c>
      <c r="AG130" s="22">
        <f>IFERROR(INDEX('I2017'!G$5:G$96,MATCH($C130,'I2017'!$A$5:$A$96,0)),"")</f>
        <v>0</v>
      </c>
      <c r="AH130" s="22">
        <f>IFERROR(INDEX('I2017'!H$5:H$96,MATCH($C130,'I2017'!$A$5:$A$96,0)),"")</f>
        <v>0</v>
      </c>
      <c r="AI130" s="22">
        <f>IFERROR(INDEX('I2017'!I$5:I$96,MATCH($C130,'I2017'!$A$5:$A$96,0)),"")</f>
        <v>0</v>
      </c>
      <c r="AJ130" s="22">
        <f>IFERROR(INDEX('I2017'!J$5:J$96,MATCH($C130,'I2017'!$A$5:$A$96,0)),"")</f>
        <v>0</v>
      </c>
      <c r="AK130" s="22">
        <f>IFERROR(INDEX('I2017'!K$5:K$96,MATCH($C130,'I2017'!$A$5:$A$96,0)),"")</f>
        <v>0</v>
      </c>
      <c r="AL130" s="22">
        <f>IFERROR(INDEX('I2017'!L$5:L$96,MATCH($C130,'I2017'!$A$5:$A$96,0)),"")</f>
        <v>0</v>
      </c>
      <c r="AM130" s="22">
        <f>IFERROR(INDEX('I2017'!M$5:M$96,MATCH($C130,'I2017'!$A$5:$A$96,0)),"")</f>
        <v>0</v>
      </c>
      <c r="AN130" s="22">
        <f>IFERROR(INDEX('I2018'!B$5:B$107,MATCH($C130,'I2018'!$A$5:$A$107,0)),"")</f>
        <v>0</v>
      </c>
      <c r="AO130" s="22">
        <f>IFERROR(INDEX('I2018'!C$5:C$107,MATCH($C130,'I2018'!$A$5:$A$107,0)),"")</f>
        <v>0</v>
      </c>
      <c r="AP130" s="22">
        <f>IFERROR(INDEX('I2018'!D$5:D$107,MATCH($C130,'I2018'!$A$5:$A$107,0)),"")</f>
        <v>0</v>
      </c>
      <c r="AQ130" s="22">
        <f>IFERROR(INDEX('I2018'!E$5:E$107,MATCH($C130,'I2018'!$A$5:$A$107,0)),"")</f>
        <v>0</v>
      </c>
      <c r="AR130" s="22">
        <f>IFERROR(INDEX('I2018'!F$5:F$107,MATCH($C130,'I2018'!$A$5:$A$107,0)),"")</f>
        <v>0</v>
      </c>
      <c r="AS130" s="22">
        <f>IFERROR(INDEX('I2018'!G$5:G$107,MATCH($C130,'I2018'!$A$5:$A$107,0)),"")</f>
        <v>0</v>
      </c>
      <c r="AT130" s="22">
        <f>IFERROR(INDEX('I2018'!H$5:H$107,MATCH($C130,'I2018'!$A$5:$A$107,0)),"")</f>
        <v>0</v>
      </c>
      <c r="AU130" s="22">
        <f>IFERROR(INDEX('I2018'!I$5:I$107,MATCH($C130,'I2018'!$A$5:$A$107,0)),"")</f>
        <v>0</v>
      </c>
      <c r="AV130" s="22">
        <f>IFERROR(INDEX('I2018'!J$5:J$107,MATCH($C130,'I2018'!$A$5:$A$107,0)),"")</f>
        <v>0</v>
      </c>
      <c r="AW130" s="22">
        <f>IFERROR(INDEX('I2018'!K$5:K$107,MATCH($C130,'I2018'!$A$5:$A$107,0)),"")</f>
        <v>0</v>
      </c>
      <c r="AX130" s="22">
        <f>IFERROR(INDEX('I2018'!L$5:L$107,MATCH($C130,'I2018'!$A$5:$A$107,0)),"")</f>
        <v>0</v>
      </c>
      <c r="AY130" s="22">
        <f>IFERROR(INDEX('I2018'!M$5:M$107,MATCH($C130,'I2018'!$A$5:$A$107,0)),"")</f>
        <v>0</v>
      </c>
      <c r="AZ130" s="22">
        <f>IFERROR(INDEX('I2019'!B$5:B$112,MATCH($C130,'I2019'!$A$5:$A$112,0)),"")</f>
        <v>0</v>
      </c>
      <c r="BA130" s="22">
        <f>IFERROR(INDEX('I2019'!C$5:C$112,MATCH($C130,'I2019'!$A$5:$A$112,0)),"")</f>
        <v>0</v>
      </c>
      <c r="BB130" s="22">
        <f>IFERROR(INDEX('I2019'!D$5:D$112,MATCH($C130,'I2019'!$A$5:$A$112,0)),"")</f>
        <v>0</v>
      </c>
      <c r="BC130" s="22">
        <f>IFERROR(INDEX('I2019'!E$5:E$112,MATCH($C130,'I2019'!$A$5:$A$112,0)),"")</f>
        <v>0</v>
      </c>
      <c r="BD130" s="22">
        <f>IFERROR(INDEX('I2019'!F$5:F$112,MATCH($C130,'I2019'!$A$5:$A$112,0)),"")</f>
        <v>0</v>
      </c>
      <c r="BE130" s="22">
        <f>IFERROR(INDEX('I2019'!G$5:G$112,MATCH($C130,'I2019'!$A$5:$A$112,0)),"")</f>
        <v>0</v>
      </c>
      <c r="BF130" s="22">
        <f>IFERROR(INDEX('I2019'!H$5:H$112,MATCH($C130,'I2019'!$A$5:$A$112,0)),"")</f>
        <v>0</v>
      </c>
      <c r="BG130" s="22">
        <f>IFERROR(INDEX('I2019'!I$5:I$112,MATCH($C130,'I2019'!$A$5:$A$112,0)),"")</f>
        <v>0</v>
      </c>
      <c r="BH130" s="22">
        <f>IFERROR(INDEX('I2019'!J$5:J$112,MATCH($C130,'I2019'!$A$5:$A$112,0)),"")</f>
        <v>0</v>
      </c>
      <c r="BI130" s="22">
        <f>IFERROR(INDEX('I2019'!K$5:K$112,MATCH($C130,'I2019'!$A$5:$A$112,0)),"")</f>
        <v>0</v>
      </c>
      <c r="BJ130" s="22">
        <f>IFERROR(INDEX('I2019'!L$5:L$112,MATCH($C130,'I2019'!$A$5:$A$112,0)),"")</f>
        <v>0</v>
      </c>
      <c r="BK130" s="22">
        <f>IFERROR(INDEX('I2019'!M$5:M$112,MATCH($C130,'I2019'!$A$5:$A$112,0)),"")</f>
        <v>0</v>
      </c>
      <c r="BL130" s="22">
        <f>IFERROR(INDEX('I2020'!B$5:B$113,MATCH($C130,'I2020'!$A$5:$A$113,0)),"")</f>
        <v>0</v>
      </c>
      <c r="BM130" s="22">
        <f>IFERROR(INDEX('I2020'!C$5:C$113,MATCH($C130,'I2020'!$A$5:$A$113,0)),"")</f>
        <v>0</v>
      </c>
      <c r="BN130" s="22">
        <f>IFERROR(INDEX('I2020'!D$5:D$113,MATCH($C130,'I2020'!$A$5:$A$113,0)),"")</f>
        <v>0</v>
      </c>
      <c r="BO130" s="22">
        <f>IFERROR(INDEX('I2020'!E$5:E$113,MATCH($C130,'I2020'!$A$5:$A$113,0)),"")</f>
        <v>0</v>
      </c>
      <c r="BP130" s="22">
        <f>IFERROR(INDEX('I2020'!F$5:F$113,MATCH($C130,'I2020'!$A$5:$A$113,0)),"")</f>
        <v>0</v>
      </c>
      <c r="BQ130" s="393">
        <f>IFERROR(INDEX('I2020'!G$5:G$113,MATCH($C130,'I2020'!$A$5:$A$113,0)),"")</f>
        <v>0</v>
      </c>
      <c r="BR130" s="65"/>
      <c r="BS130" s="65"/>
      <c r="BT130" s="65"/>
      <c r="BU130" s="65"/>
      <c r="BV130" s="65"/>
      <c r="BW130" s="65"/>
      <c r="BX130" s="65"/>
      <c r="BY130" s="65"/>
      <c r="BZ130" s="65"/>
      <c r="CA130" s="65"/>
      <c r="CB130" s="65"/>
      <c r="CC130" s="65"/>
      <c r="CD130" s="65"/>
      <c r="CE130" s="65"/>
      <c r="CF130" s="65"/>
      <c r="CG130" s="65"/>
      <c r="CH130" s="65"/>
      <c r="CI130" s="125"/>
      <c r="CJ130" s="134"/>
    </row>
    <row r="131" spans="1:88" x14ac:dyDescent="0.3">
      <c r="A131" s="33" t="s">
        <v>459</v>
      </c>
      <c r="B131" s="169">
        <v>7.2554864410388116E-3</v>
      </c>
      <c r="C131" s="26" t="s">
        <v>96</v>
      </c>
      <c r="D131" s="78" t="str">
        <f>IFERROR(INDEX('I2015'!B$5:B$73,MATCH($C131,'I2015'!$A$5:$A$73,0)),"")</f>
        <v/>
      </c>
      <c r="E131" s="78" t="str">
        <f>IFERROR(INDEX('I2015'!C$5:C$73,MATCH($C131,'I2015'!$A$5:$A$73,0)),"")</f>
        <v/>
      </c>
      <c r="F131" s="78" t="str">
        <f>IFERROR(INDEX('I2015'!D$5:D$73,MATCH($C131,'I2015'!$A$5:$A$73,0)),"")</f>
        <v/>
      </c>
      <c r="G131" s="78" t="str">
        <f>IFERROR(INDEX('I2015'!E$5:E$73,MATCH($C131,'I2015'!$A$5:$A$73,0)),"")</f>
        <v/>
      </c>
      <c r="H131" s="78" t="str">
        <f>IFERROR(INDEX('I2015'!F$5:F$73,MATCH($C131,'I2015'!$A$5:$A$73,0)),"")</f>
        <v/>
      </c>
      <c r="I131" s="78" t="str">
        <f>IFERROR(INDEX('I2015'!G$5:G$73,MATCH($C131,'I2015'!$A$5:$A$73,0)),"")</f>
        <v/>
      </c>
      <c r="J131" s="78" t="str">
        <f>IFERROR(INDEX('I2015'!H$5:H$73,MATCH($C131,'I2015'!$A$5:$A$73,0)),"")</f>
        <v/>
      </c>
      <c r="K131" s="78" t="str">
        <f>IFERROR(INDEX('I2015'!I$5:I$73,MATCH($C131,'I2015'!$A$5:$A$73,0)),"")</f>
        <v/>
      </c>
      <c r="L131" s="78" t="str">
        <f>IFERROR(INDEX('I2015'!J$5:J$73,MATCH($C131,'I2015'!$A$5:$A$73,0)),"")</f>
        <v/>
      </c>
      <c r="M131" s="78" t="str">
        <f>IFERROR(INDEX('I2015'!K$5:K$73,MATCH($C131,'I2015'!$A$5:$A$73,0)),"")</f>
        <v/>
      </c>
      <c r="N131" s="78" t="str">
        <f>IFERROR(INDEX('I2015'!L$5:L$73,MATCH($C131,'I2015'!$A$5:$A$73,0)),"")</f>
        <v/>
      </c>
      <c r="O131" s="78" t="str">
        <f>IFERROR(INDEX('I2015'!M$5:M$73,MATCH($C131,'I2015'!$A$5:$A$73,0)),"")</f>
        <v/>
      </c>
      <c r="P131" s="78">
        <f>IFERROR(INDEX('I2016'!B$5:B$90,MATCH($C131,'I2016'!$A$5:$A$90,0)),"")</f>
        <v>0</v>
      </c>
      <c r="Q131" s="78">
        <f>IFERROR(INDEX('I2016'!C$5:C$90,MATCH($C131,'I2016'!$A$5:$A$90,0)),"")</f>
        <v>0</v>
      </c>
      <c r="R131" s="78">
        <f>IFERROR(INDEX('I2016'!D$5:D$90,MATCH($C131,'I2016'!$A$5:$A$90,0)),"")</f>
        <v>0</v>
      </c>
      <c r="S131" s="78">
        <f>IFERROR(INDEX('I2016'!E$5:E$90,MATCH($C131,'I2016'!$A$5:$A$90,0)),"")</f>
        <v>895.95</v>
      </c>
      <c r="T131" s="78">
        <f>IFERROR(INDEX('I2016'!F$5:F$90,MATCH($C131,'I2016'!$A$5:$A$90,0)),"")</f>
        <v>266.54000000000002</v>
      </c>
      <c r="U131" s="78">
        <f>IFERROR(INDEX('I2016'!G$5:G$90,MATCH($C131,'I2016'!$A$5:$A$90,0)),"")</f>
        <v>0</v>
      </c>
      <c r="V131" s="78">
        <f>IFERROR(INDEX('I2016'!H$5:H$90,MATCH($C131,'I2016'!$A$5:$A$90,0)),"")</f>
        <v>0</v>
      </c>
      <c r="W131" s="78">
        <f>IFERROR(INDEX('I2016'!I$5:I$90,MATCH($C131,'I2016'!$A$5:$A$90,0)),"")</f>
        <v>0</v>
      </c>
      <c r="X131" s="78">
        <f>IFERROR(INDEX('I2016'!J$5:J$90,MATCH($C131,'I2016'!$A$5:$A$90,0)),"")</f>
        <v>0</v>
      </c>
      <c r="Y131" s="78">
        <f>IFERROR(INDEX('I2016'!K$5:K$90,MATCH($C131,'I2016'!$A$5:$A$90,0)),"")</f>
        <v>0</v>
      </c>
      <c r="Z131" s="78">
        <f>IFERROR(INDEX('I2016'!L$5:L$90,MATCH($C131,'I2016'!$A$5:$A$90,0)),"")</f>
        <v>0</v>
      </c>
      <c r="AA131" s="78">
        <f>IFERROR(INDEX('I2016'!M$5:M$90,MATCH($C131,'I2016'!$A$5:$A$90,0)),"")</f>
        <v>0</v>
      </c>
      <c r="AB131" s="78">
        <f>IFERROR(INDEX('I2017'!B$5:B$96,MATCH($C131,'I2017'!$A$5:$A$96,0)),"")</f>
        <v>0</v>
      </c>
      <c r="AC131" s="78">
        <f>IFERROR(INDEX('I2017'!C$5:C$96,MATCH($C131,'I2017'!$A$5:$A$96,0)),"")</f>
        <v>0</v>
      </c>
      <c r="AD131" s="78">
        <f>IFERROR(INDEX('I2017'!D$5:D$96,MATCH($C131,'I2017'!$A$5:$A$96,0)),"")</f>
        <v>0</v>
      </c>
      <c r="AE131" s="78">
        <f>IFERROR(INDEX('I2017'!E$5:E$96,MATCH($C131,'I2017'!$A$5:$A$96,0)),"")</f>
        <v>0</v>
      </c>
      <c r="AF131" s="78">
        <f>IFERROR(INDEX('I2017'!F$5:F$96,MATCH($C131,'I2017'!$A$5:$A$96,0)),"")</f>
        <v>0</v>
      </c>
      <c r="AG131" s="78">
        <f>IFERROR(INDEX('I2017'!G$5:G$96,MATCH($C131,'I2017'!$A$5:$A$96,0)),"")</f>
        <v>1803</v>
      </c>
      <c r="AH131" s="78">
        <f>IFERROR(INDEX('I2017'!H$5:H$96,MATCH($C131,'I2017'!$A$5:$A$96,0)),"")</f>
        <v>1421.18</v>
      </c>
      <c r="AI131" s="78">
        <f>IFERROR(INDEX('I2017'!I$5:I$96,MATCH($C131,'I2017'!$A$5:$A$96,0)),"")</f>
        <v>1862.42</v>
      </c>
      <c r="AJ131" s="78">
        <f>IFERROR(INDEX('I2017'!J$5:J$96,MATCH($C131,'I2017'!$A$5:$A$96,0)),"")</f>
        <v>1459.06</v>
      </c>
      <c r="AK131" s="78">
        <f>IFERROR(INDEX('I2017'!K$5:K$96,MATCH($C131,'I2017'!$A$5:$A$96,0)),"")</f>
        <v>1925.79</v>
      </c>
      <c r="AL131" s="78">
        <f>IFERROR(INDEX('I2017'!L$5:L$96,MATCH($C131,'I2017'!$A$5:$A$96,0)),"")</f>
        <v>1624.77</v>
      </c>
      <c r="AM131" s="78">
        <f>IFERROR(INDEX('I2017'!M$5:M$96,MATCH($C131,'I2017'!$A$5:$A$96,0)),"")</f>
        <v>1417.39</v>
      </c>
      <c r="AN131" s="78">
        <f>IFERROR(INDEX('I2018'!B$5:B$107,MATCH($C131,'I2018'!$A$5:$A$107,0)),"")</f>
        <v>2205.62</v>
      </c>
      <c r="AO131" s="78">
        <f>IFERROR(INDEX('I2018'!C$5:C$107,MATCH($C131,'I2018'!$A$5:$A$107,0)),"")</f>
        <v>1648.88</v>
      </c>
      <c r="AP131" s="78">
        <f>IFERROR(INDEX('I2018'!D$5:D$107,MATCH($C131,'I2018'!$A$5:$A$107,0)),"")</f>
        <v>3080.15</v>
      </c>
      <c r="AQ131" s="78">
        <f>IFERROR(INDEX('I2018'!E$5:E$107,MATCH($C131,'I2018'!$A$5:$A$107,0)),"")</f>
        <v>4227.9399999999996</v>
      </c>
      <c r="AR131" s="78">
        <f>IFERROR(INDEX('I2018'!F$5:F$107,MATCH($C131,'I2018'!$A$5:$A$107,0)),"")</f>
        <v>5363.08</v>
      </c>
      <c r="AS131" s="78">
        <f>IFERROR(INDEX('I2018'!G$5:G$107,MATCH($C131,'I2018'!$A$5:$A$107,0)),"")</f>
        <v>8578.5499999999993</v>
      </c>
      <c r="AT131" s="78">
        <f>IFERROR(INDEX('I2018'!H$5:H$107,MATCH($C131,'I2018'!$A$5:$A$107,0)),"")</f>
        <v>11245.31</v>
      </c>
      <c r="AU131" s="78">
        <f>IFERROR(INDEX('I2018'!I$5:I$107,MATCH($C131,'I2018'!$A$5:$A$107,0)),"")</f>
        <v>14491.02</v>
      </c>
      <c r="AV131" s="78">
        <f>IFERROR(INDEX('I2018'!J$5:J$107,MATCH($C131,'I2018'!$A$5:$A$107,0)),"")</f>
        <v>8670.6</v>
      </c>
      <c r="AW131" s="78">
        <f>IFERROR(INDEX('I2018'!K$5:K$107,MATCH($C131,'I2018'!$A$5:$A$107,0)),"")</f>
        <v>13249.16</v>
      </c>
      <c r="AX131" s="78">
        <f>IFERROR(INDEX('I2018'!L$5:L$107,MATCH($C131,'I2018'!$A$5:$A$107,0)),"")</f>
        <v>13144.2</v>
      </c>
      <c r="AY131" s="78">
        <f>IFERROR(INDEX('I2018'!M$5:M$107,MATCH($C131,'I2018'!$A$5:$A$107,0)),"")</f>
        <v>14386.12</v>
      </c>
      <c r="AZ131" s="78">
        <f>IFERROR(INDEX('I2019'!B$5:B$112,MATCH($C131,'I2019'!$A$5:$A$112,0)),"")</f>
        <v>14158.75</v>
      </c>
      <c r="BA131" s="78">
        <f>IFERROR(INDEX('I2019'!C$5:C$112,MATCH($C131,'I2019'!$A$5:$A$112,0)),"")</f>
        <v>12255.37</v>
      </c>
      <c r="BB131" s="78">
        <f>IFERROR(INDEX('I2019'!D$5:D$112,MATCH($C131,'I2019'!$A$5:$A$112,0)),"")</f>
        <v>13058.78</v>
      </c>
      <c r="BC131" s="78">
        <f>IFERROR(INDEX('I2019'!E$5:E$112,MATCH($C131,'I2019'!$A$5:$A$112,0)),"")</f>
        <v>17070.509999999998</v>
      </c>
      <c r="BD131" s="78">
        <f>IFERROR(INDEX('I2019'!F$5:F$112,MATCH($C131,'I2019'!$A$5:$A$112,0)),"")</f>
        <v>13678.15</v>
      </c>
      <c r="BE131" s="78">
        <f>IFERROR(INDEX('I2019'!G$5:G$112,MATCH($C131,'I2019'!$A$5:$A$112,0)),"")</f>
        <v>15149.91</v>
      </c>
      <c r="BF131" s="78">
        <f>IFERROR(INDEX('I2019'!H$5:H$112,MATCH($C131,'I2019'!$A$5:$A$112,0)),"")</f>
        <v>17456.05</v>
      </c>
      <c r="BG131" s="78">
        <f>IFERROR(INDEX('I2019'!I$5:I$112,MATCH($C131,'I2019'!$A$5:$A$112,0)),"")</f>
        <v>14012.36</v>
      </c>
      <c r="BH131" s="78">
        <f>IFERROR(INDEX('I2019'!J$5:J$112,MATCH($C131,'I2019'!$A$5:$A$112,0)),"")</f>
        <v>14113.76</v>
      </c>
      <c r="BI131" s="78">
        <f>IFERROR(INDEX('I2019'!K$5:K$112,MATCH($C131,'I2019'!$A$5:$A$112,0)),"")</f>
        <v>18151.599999999999</v>
      </c>
      <c r="BJ131" s="78">
        <f>IFERROR(INDEX('I2019'!L$5:L$112,MATCH($C131,'I2019'!$A$5:$A$112,0)),"")</f>
        <v>14503.88</v>
      </c>
      <c r="BK131" s="78">
        <f>IFERROR(INDEX('I2019'!M$5:M$112,MATCH($C131,'I2019'!$A$5:$A$112,0)),"")</f>
        <v>17610.89</v>
      </c>
      <c r="BL131" s="78">
        <f>IFERROR(INDEX('I2020'!B$5:B$113,MATCH($C131,'I2020'!$A$5:$A$113,0)),"")</f>
        <v>14265.76</v>
      </c>
      <c r="BM131" s="78">
        <f>IFERROR(INDEX('I2020'!C$5:C$113,MATCH($C131,'I2020'!$A$5:$A$113,0)),"")</f>
        <v>15814.98</v>
      </c>
      <c r="BN131" s="78">
        <f>IFERROR(INDEX('I2020'!D$5:D$113,MATCH($C131,'I2020'!$A$5:$A$113,0)),"")</f>
        <v>28423.89</v>
      </c>
      <c r="BO131" s="78">
        <f>IFERROR(INDEX('I2020'!E$5:E$113,MATCH($C131,'I2020'!$A$5:$A$113,0)),"")</f>
        <v>12043.49</v>
      </c>
      <c r="BP131" s="78">
        <f>IFERROR(INDEX('I2020'!F$5:F$113,MATCH($C131,'I2020'!$A$5:$A$113,0)),"")</f>
        <v>14888.7</v>
      </c>
      <c r="BQ131" s="398">
        <f>IFERROR(INDEX('I2020'!G$5:G$113,MATCH($C131,'I2020'!$A$5:$A$113,0)),"")</f>
        <v>20908.27</v>
      </c>
      <c r="BR131" s="153">
        <f t="shared" ref="BQ131:CI131" si="100">$B131*BR$31</f>
        <v>20508.289707138531</v>
      </c>
      <c r="BS131" s="153">
        <f t="shared" si="100"/>
        <v>20796.233932986765</v>
      </c>
      <c r="BT131" s="153">
        <f t="shared" si="100"/>
        <v>21289.965443701909</v>
      </c>
      <c r="BU131" s="153">
        <f t="shared" si="100"/>
        <v>21964.129350112769</v>
      </c>
      <c r="BV131" s="153">
        <f t="shared" si="100"/>
        <v>22799.389894950538</v>
      </c>
      <c r="BW131" s="153">
        <f t="shared" si="100"/>
        <v>23781.283515712366</v>
      </c>
      <c r="BX131" s="153">
        <f t="shared" si="100"/>
        <v>24649.924986318118</v>
      </c>
      <c r="BY131" s="153">
        <f t="shared" si="100"/>
        <v>25429.21163540893</v>
      </c>
      <c r="BZ131" s="153">
        <f t="shared" si="100"/>
        <v>26138.280029376907</v>
      </c>
      <c r="CA131" s="153">
        <f t="shared" si="100"/>
        <v>26792.458405367026</v>
      </c>
      <c r="CB131" s="153">
        <f t="shared" si="100"/>
        <v>27404.028621887112</v>
      </c>
      <c r="CC131" s="153">
        <f t="shared" si="100"/>
        <v>27982.835723567074</v>
      </c>
      <c r="CD131" s="153">
        <f t="shared" si="100"/>
        <v>28536.775597301905</v>
      </c>
      <c r="CE131" s="153">
        <f t="shared" si="100"/>
        <v>29072.185101566494</v>
      </c>
      <c r="CF131" s="153">
        <f t="shared" si="100"/>
        <v>29594.154174334042</v>
      </c>
      <c r="CG131" s="153">
        <f t="shared" si="100"/>
        <v>30106.775523944289</v>
      </c>
      <c r="CH131" s="153">
        <f t="shared" si="100"/>
        <v>30613.34438639964</v>
      </c>
      <c r="CI131" s="154">
        <f t="shared" si="100"/>
        <v>31116.518335872592</v>
      </c>
      <c r="CJ131" s="289"/>
    </row>
    <row r="132" spans="1:88" x14ac:dyDescent="0.3">
      <c r="A132" s="33"/>
      <c r="B132" s="68"/>
      <c r="C132" s="21" t="s">
        <v>132</v>
      </c>
      <c r="D132" s="22">
        <f>IFERROR(INDEX('I2015'!B$5:B$73,MATCH($C132,'I2015'!$A$5:$A$73,0)),"")</f>
        <v>1331.01</v>
      </c>
      <c r="E132" s="22">
        <f>IFERROR(INDEX('I2015'!C$5:C$73,MATCH($C132,'I2015'!$A$5:$A$73,0)),"")</f>
        <v>1595.13</v>
      </c>
      <c r="F132" s="22">
        <f>IFERROR(INDEX('I2015'!D$5:D$73,MATCH($C132,'I2015'!$A$5:$A$73,0)),"")</f>
        <v>2562.1</v>
      </c>
      <c r="G132" s="22">
        <f>IFERROR(INDEX('I2015'!E$5:E$73,MATCH($C132,'I2015'!$A$5:$A$73,0)),"")</f>
        <v>3227.98</v>
      </c>
      <c r="H132" s="22">
        <f>IFERROR(INDEX('I2015'!F$5:F$73,MATCH($C132,'I2015'!$A$5:$A$73,0)),"")</f>
        <v>1752.2</v>
      </c>
      <c r="I132" s="22">
        <f>IFERROR(INDEX('I2015'!G$5:G$73,MATCH($C132,'I2015'!$A$5:$A$73,0)),"")</f>
        <v>3397.93</v>
      </c>
      <c r="J132" s="22">
        <f>IFERROR(INDEX('I2015'!H$5:H$73,MATCH($C132,'I2015'!$A$5:$A$73,0)),"")</f>
        <v>2864.71</v>
      </c>
      <c r="K132" s="22">
        <f>IFERROR(INDEX('I2015'!I$5:I$73,MATCH($C132,'I2015'!$A$5:$A$73,0)),"")</f>
        <v>3815.28</v>
      </c>
      <c r="L132" s="22">
        <f>IFERROR(INDEX('I2015'!J$5:J$73,MATCH($C132,'I2015'!$A$5:$A$73,0)),"")</f>
        <v>3459.41</v>
      </c>
      <c r="M132" s="22">
        <f>IFERROR(INDEX('I2015'!K$5:K$73,MATCH($C132,'I2015'!$A$5:$A$73,0)),"")</f>
        <v>4318.8500000000004</v>
      </c>
      <c r="N132" s="22">
        <f>IFERROR(INDEX('I2015'!L$5:L$73,MATCH($C132,'I2015'!$A$5:$A$73,0)),"")</f>
        <v>4193.45</v>
      </c>
      <c r="O132" s="22">
        <f>IFERROR(INDEX('I2015'!M$5:M$73,MATCH($C132,'I2015'!$A$5:$A$73,0)),"")</f>
        <v>4406.74</v>
      </c>
      <c r="P132" s="22">
        <f>IFERROR(INDEX('I2016'!B$5:B$90,MATCH($C132,'I2016'!$A$5:$A$90,0)),"")</f>
        <v>4633.3</v>
      </c>
      <c r="Q132" s="22">
        <f>IFERROR(INDEX('I2016'!C$5:C$90,MATCH($C132,'I2016'!$A$5:$A$90,0)),"")</f>
        <v>7040.75</v>
      </c>
      <c r="R132" s="22">
        <f>IFERROR(INDEX('I2016'!D$5:D$90,MATCH($C132,'I2016'!$A$5:$A$90,0)),"")</f>
        <v>5190.8</v>
      </c>
      <c r="S132" s="22">
        <f>IFERROR(INDEX('I2016'!E$5:E$90,MATCH($C132,'I2016'!$A$5:$A$90,0)),"")</f>
        <v>4.96</v>
      </c>
      <c r="T132" s="22">
        <f>IFERROR(INDEX('I2016'!F$5:F$90,MATCH($C132,'I2016'!$A$5:$A$90,0)),"")</f>
        <v>4438.3</v>
      </c>
      <c r="U132" s="22">
        <f>IFERROR(INDEX('I2016'!G$5:G$90,MATCH($C132,'I2016'!$A$5:$A$90,0)),"")</f>
        <v>6759.36</v>
      </c>
      <c r="V132" s="22">
        <f>IFERROR(INDEX('I2016'!H$5:H$90,MATCH($C132,'I2016'!$A$5:$A$90,0)),"")</f>
        <v>7179.73</v>
      </c>
      <c r="W132" s="22">
        <f>IFERROR(INDEX('I2016'!I$5:I$90,MATCH($C132,'I2016'!$A$5:$A$90,0)),"")</f>
        <v>10446.049999999999</v>
      </c>
      <c r="X132" s="22">
        <f>IFERROR(INDEX('I2016'!J$5:J$90,MATCH($C132,'I2016'!$A$5:$A$90,0)),"")</f>
        <v>8112.9</v>
      </c>
      <c r="Y132" s="22">
        <f>IFERROR(INDEX('I2016'!K$5:K$90,MATCH($C132,'I2016'!$A$5:$A$90,0)),"")</f>
        <v>6203.63</v>
      </c>
      <c r="Z132" s="22">
        <f>IFERROR(INDEX('I2016'!L$5:L$90,MATCH($C132,'I2016'!$A$5:$A$90,0)),"")</f>
        <v>10611.09</v>
      </c>
      <c r="AA132" s="22">
        <f>IFERROR(INDEX('I2016'!M$5:M$90,MATCH($C132,'I2016'!$A$5:$A$90,0)),"")</f>
        <v>10212.36</v>
      </c>
      <c r="AB132" s="22">
        <f>IFERROR(INDEX('I2017'!B$5:B$96,MATCH($C132,'I2017'!$A$5:$A$96,0)),"")</f>
        <v>10385.780000000001</v>
      </c>
      <c r="AC132" s="22">
        <f>IFERROR(INDEX('I2017'!C$5:C$96,MATCH($C132,'I2017'!$A$5:$A$96,0)),"")</f>
        <v>9063.57</v>
      </c>
      <c r="AD132" s="22">
        <f>IFERROR(INDEX('I2017'!D$5:D$96,MATCH($C132,'I2017'!$A$5:$A$96,0)),"")</f>
        <v>8496.58</v>
      </c>
      <c r="AE132" s="22">
        <f>IFERROR(INDEX('I2017'!E$5:E$96,MATCH($C132,'I2017'!$A$5:$A$96,0)),"")</f>
        <v>6683.65</v>
      </c>
      <c r="AF132" s="22">
        <f>IFERROR(INDEX('I2017'!F$5:F$96,MATCH($C132,'I2017'!$A$5:$A$96,0)),"")</f>
        <v>7570.82</v>
      </c>
      <c r="AG132" s="22">
        <f>IFERROR(INDEX('I2017'!G$5:G$96,MATCH($C132,'I2017'!$A$5:$A$96,0)),"")</f>
        <v>0</v>
      </c>
      <c r="AH132" s="22">
        <f>IFERROR(INDEX('I2017'!H$5:H$96,MATCH($C132,'I2017'!$A$5:$A$96,0)),"")</f>
        <v>0</v>
      </c>
      <c r="AI132" s="22">
        <f>IFERROR(INDEX('I2017'!I$5:I$96,MATCH($C132,'I2017'!$A$5:$A$96,0)),"")</f>
        <v>0</v>
      </c>
      <c r="AJ132" s="22">
        <f>IFERROR(INDEX('I2017'!J$5:J$96,MATCH($C132,'I2017'!$A$5:$A$96,0)),"")</f>
        <v>0</v>
      </c>
      <c r="AK132" s="22">
        <f>IFERROR(INDEX('I2017'!K$5:K$96,MATCH($C132,'I2017'!$A$5:$A$96,0)),"")</f>
        <v>0</v>
      </c>
      <c r="AL132" s="22">
        <f>IFERROR(INDEX('I2017'!L$5:L$96,MATCH($C132,'I2017'!$A$5:$A$96,0)),"")</f>
        <v>0</v>
      </c>
      <c r="AM132" s="22">
        <f>IFERROR(INDEX('I2017'!M$5:M$96,MATCH($C132,'I2017'!$A$5:$A$96,0)),"")</f>
        <v>0</v>
      </c>
      <c r="AN132" s="22" t="str">
        <f>IFERROR(INDEX('I2018'!B$5:B$107,MATCH($C132,'I2018'!$A$5:$A$107,0)),"")</f>
        <v/>
      </c>
      <c r="AO132" s="22" t="str">
        <f>IFERROR(INDEX('I2018'!C$5:C$107,MATCH($C132,'I2018'!$A$5:$A$107,0)),"")</f>
        <v/>
      </c>
      <c r="AP132" s="22" t="str">
        <f>IFERROR(INDEX('I2018'!D$5:D$107,MATCH($C132,'I2018'!$A$5:$A$107,0)),"")</f>
        <v/>
      </c>
      <c r="AQ132" s="22" t="str">
        <f>IFERROR(INDEX('I2018'!E$5:E$107,MATCH($C132,'I2018'!$A$5:$A$107,0)),"")</f>
        <v/>
      </c>
      <c r="AR132" s="22" t="str">
        <f>IFERROR(INDEX('I2018'!F$5:F$107,MATCH($C132,'I2018'!$A$5:$A$107,0)),"")</f>
        <v/>
      </c>
      <c r="AS132" s="22" t="str">
        <f>IFERROR(INDEX('I2018'!G$5:G$107,MATCH($C132,'I2018'!$A$5:$A$107,0)),"")</f>
        <v/>
      </c>
      <c r="AT132" s="22" t="str">
        <f>IFERROR(INDEX('I2018'!H$5:H$107,MATCH($C132,'I2018'!$A$5:$A$107,0)),"")</f>
        <v/>
      </c>
      <c r="AU132" s="22" t="str">
        <f>IFERROR(INDEX('I2018'!I$5:I$107,MATCH($C132,'I2018'!$A$5:$A$107,0)),"")</f>
        <v/>
      </c>
      <c r="AV132" s="22" t="str">
        <f>IFERROR(INDEX('I2018'!J$5:J$107,MATCH($C132,'I2018'!$A$5:$A$107,0)),"")</f>
        <v/>
      </c>
      <c r="AW132" s="22" t="str">
        <f>IFERROR(INDEX('I2018'!K$5:K$107,MATCH($C132,'I2018'!$A$5:$A$107,0)),"")</f>
        <v/>
      </c>
      <c r="AX132" s="22" t="str">
        <f>IFERROR(INDEX('I2018'!L$5:L$107,MATCH($C132,'I2018'!$A$5:$A$107,0)),"")</f>
        <v/>
      </c>
      <c r="AY132" s="22" t="str">
        <f>IFERROR(INDEX('I2018'!M$5:M$107,MATCH($C132,'I2018'!$A$5:$A$107,0)),"")</f>
        <v/>
      </c>
      <c r="AZ132" s="22" t="str">
        <f>IFERROR(INDEX('I2019'!B$5:B$112,MATCH($C132,'I2019'!$A$5:$A$112,0)),"")</f>
        <v/>
      </c>
      <c r="BA132" s="22" t="str">
        <f>IFERROR(INDEX('I2019'!C$5:C$112,MATCH($C132,'I2019'!$A$5:$A$112,0)),"")</f>
        <v/>
      </c>
      <c r="BB132" s="22" t="str">
        <f>IFERROR(INDEX('I2019'!D$5:D$112,MATCH($C132,'I2019'!$A$5:$A$112,0)),"")</f>
        <v/>
      </c>
      <c r="BC132" s="22" t="str">
        <f>IFERROR(INDEX('I2019'!E$5:E$112,MATCH($C132,'I2019'!$A$5:$A$112,0)),"")</f>
        <v/>
      </c>
      <c r="BD132" s="22" t="str">
        <f>IFERROR(INDEX('I2019'!F$5:F$112,MATCH($C132,'I2019'!$A$5:$A$112,0)),"")</f>
        <v/>
      </c>
      <c r="BE132" s="22" t="str">
        <f>IFERROR(INDEX('I2019'!G$5:G$112,MATCH($C132,'I2019'!$A$5:$A$112,0)),"")</f>
        <v/>
      </c>
      <c r="BF132" s="22" t="str">
        <f>IFERROR(INDEX('I2019'!H$5:H$112,MATCH($C132,'I2019'!$A$5:$A$112,0)),"")</f>
        <v/>
      </c>
      <c r="BG132" s="22" t="str">
        <f>IFERROR(INDEX('I2019'!I$5:I$112,MATCH($C132,'I2019'!$A$5:$A$112,0)),"")</f>
        <v/>
      </c>
      <c r="BH132" s="22" t="str">
        <f>IFERROR(INDEX('I2019'!J$5:J$112,MATCH($C132,'I2019'!$A$5:$A$112,0)),"")</f>
        <v/>
      </c>
      <c r="BI132" s="22" t="str">
        <f>IFERROR(INDEX('I2019'!K$5:K$112,MATCH($C132,'I2019'!$A$5:$A$112,0)),"")</f>
        <v/>
      </c>
      <c r="BJ132" s="22" t="str">
        <f>IFERROR(INDEX('I2019'!L$5:L$112,MATCH($C132,'I2019'!$A$5:$A$112,0)),"")</f>
        <v/>
      </c>
      <c r="BK132" s="22" t="str">
        <f>IFERROR(INDEX('I2019'!M$5:M$112,MATCH($C132,'I2019'!$A$5:$A$112,0)),"")</f>
        <v/>
      </c>
      <c r="BL132" s="22" t="str">
        <f>IFERROR(INDEX('I2020'!B$5:B$113,MATCH($C132,'I2020'!$A$5:$A$113,0)),"")</f>
        <v/>
      </c>
      <c r="BM132" s="22" t="str">
        <f>IFERROR(INDEX('I2020'!C$5:C$113,MATCH($C132,'I2020'!$A$5:$A$113,0)),"")</f>
        <v/>
      </c>
      <c r="BN132" s="22" t="str">
        <f>IFERROR(INDEX('I2020'!D$5:D$113,MATCH($C132,'I2020'!$A$5:$A$113,0)),"")</f>
        <v/>
      </c>
      <c r="BO132" s="22" t="str">
        <f>IFERROR(INDEX('I2020'!E$5:E$113,MATCH($C132,'I2020'!$A$5:$A$113,0)),"")</f>
        <v/>
      </c>
      <c r="BP132" s="22" t="str">
        <f>IFERROR(INDEX('I2020'!F$5:F$113,MATCH($C132,'I2020'!$A$5:$A$113,0)),"")</f>
        <v/>
      </c>
      <c r="BQ132" s="393" t="str">
        <f>IFERROR(INDEX('I2020'!G$5:G$113,MATCH($C132,'I2020'!$A$5:$A$113,0)),"")</f>
        <v/>
      </c>
      <c r="BR132" s="65"/>
      <c r="BS132" s="65"/>
      <c r="BT132" s="65"/>
      <c r="BU132" s="65"/>
      <c r="BV132" s="65"/>
      <c r="BW132" s="65"/>
      <c r="BX132" s="65"/>
      <c r="BY132" s="65"/>
      <c r="BZ132" s="65"/>
      <c r="CA132" s="65"/>
      <c r="CB132" s="65"/>
      <c r="CC132" s="65"/>
      <c r="CD132" s="65"/>
      <c r="CE132" s="65"/>
      <c r="CF132" s="65"/>
      <c r="CG132" s="65"/>
      <c r="CH132" s="65"/>
      <c r="CI132" s="125"/>
      <c r="CJ132" s="269"/>
    </row>
    <row r="133" spans="1:88" x14ac:dyDescent="0.3">
      <c r="A133" s="33" t="s">
        <v>460</v>
      </c>
      <c r="B133" s="169">
        <v>0.12</v>
      </c>
      <c r="C133" s="26" t="s">
        <v>98</v>
      </c>
      <c r="D133" s="23" t="str">
        <f>IFERROR(INDEX('I2015'!B$5:B$73,MATCH($C133,'I2015'!$A$5:$A$73,0)),"")</f>
        <v/>
      </c>
      <c r="E133" s="23" t="str">
        <f>IFERROR(INDEX('I2015'!C$5:C$73,MATCH($C133,'I2015'!$A$5:$A$73,0)),"")</f>
        <v/>
      </c>
      <c r="F133" s="23" t="str">
        <f>IFERROR(INDEX('I2015'!D$5:D$73,MATCH($C133,'I2015'!$A$5:$A$73,0)),"")</f>
        <v/>
      </c>
      <c r="G133" s="23" t="str">
        <f>IFERROR(INDEX('I2015'!E$5:E$73,MATCH($C133,'I2015'!$A$5:$A$73,0)),"")</f>
        <v/>
      </c>
      <c r="H133" s="23" t="str">
        <f>IFERROR(INDEX('I2015'!F$5:F$73,MATCH($C133,'I2015'!$A$5:$A$73,0)),"")</f>
        <v/>
      </c>
      <c r="I133" s="23" t="str">
        <f>IFERROR(INDEX('I2015'!G$5:G$73,MATCH($C133,'I2015'!$A$5:$A$73,0)),"")</f>
        <v/>
      </c>
      <c r="J133" s="23" t="str">
        <f>IFERROR(INDEX('I2015'!H$5:H$73,MATCH($C133,'I2015'!$A$5:$A$73,0)),"")</f>
        <v/>
      </c>
      <c r="K133" s="23" t="str">
        <f>IFERROR(INDEX('I2015'!I$5:I$73,MATCH($C133,'I2015'!$A$5:$A$73,0)),"")</f>
        <v/>
      </c>
      <c r="L133" s="23" t="str">
        <f>IFERROR(INDEX('I2015'!J$5:J$73,MATCH($C133,'I2015'!$A$5:$A$73,0)),"")</f>
        <v/>
      </c>
      <c r="M133" s="23" t="str">
        <f>IFERROR(INDEX('I2015'!K$5:K$73,MATCH($C133,'I2015'!$A$5:$A$73,0)),"")</f>
        <v/>
      </c>
      <c r="N133" s="23" t="str">
        <f>IFERROR(INDEX('I2015'!L$5:L$73,MATCH($C133,'I2015'!$A$5:$A$73,0)),"")</f>
        <v/>
      </c>
      <c r="O133" s="23" t="str">
        <f>IFERROR(INDEX('I2015'!M$5:M$73,MATCH($C133,'I2015'!$A$5:$A$73,0)),"")</f>
        <v/>
      </c>
      <c r="P133" s="23">
        <f>IFERROR(INDEX('I2016'!B$5:B$90,MATCH($C133,'I2016'!$A$5:$A$90,0)),"")</f>
        <v>4790.7700000000004</v>
      </c>
      <c r="Q133" s="23">
        <f>IFERROR(INDEX('I2016'!C$5:C$90,MATCH($C133,'I2016'!$A$5:$A$90,0)),"")</f>
        <v>8100.22</v>
      </c>
      <c r="R133" s="23">
        <f>IFERROR(INDEX('I2016'!D$5:D$90,MATCH($C133,'I2016'!$A$5:$A$90,0)),"")</f>
        <v>9763.4500000000007</v>
      </c>
      <c r="S133" s="23">
        <f>IFERROR(INDEX('I2016'!E$5:E$90,MATCH($C133,'I2016'!$A$5:$A$90,0)),"")</f>
        <v>8908.5400000000009</v>
      </c>
      <c r="T133" s="23">
        <f>IFERROR(INDEX('I2016'!F$5:F$90,MATCH($C133,'I2016'!$A$5:$A$90,0)),"")</f>
        <v>13437.7</v>
      </c>
      <c r="U133" s="23">
        <f>IFERROR(INDEX('I2016'!G$5:G$90,MATCH($C133,'I2016'!$A$5:$A$90,0)),"")</f>
        <v>9071.32</v>
      </c>
      <c r="V133" s="23">
        <f>IFERROR(INDEX('I2016'!H$5:H$90,MATCH($C133,'I2016'!$A$5:$A$90,0)),"")</f>
        <v>9241.27</v>
      </c>
      <c r="W133" s="23">
        <f>IFERROR(INDEX('I2016'!I$5:I$90,MATCH($C133,'I2016'!$A$5:$A$90,0)),"")</f>
        <v>9331.7999999999993</v>
      </c>
      <c r="X133" s="23">
        <f>IFERROR(INDEX('I2016'!J$5:J$90,MATCH($C133,'I2016'!$A$5:$A$90,0)),"")</f>
        <v>9027.93</v>
      </c>
      <c r="Y133" s="23">
        <f>IFERROR(INDEX('I2016'!K$5:K$90,MATCH($C133,'I2016'!$A$5:$A$90,0)),"")</f>
        <v>16243.66</v>
      </c>
      <c r="Z133" s="23">
        <f>IFERROR(INDEX('I2016'!L$5:L$90,MATCH($C133,'I2016'!$A$5:$A$90,0)),"")</f>
        <v>11392.58</v>
      </c>
      <c r="AA133" s="23">
        <f>IFERROR(INDEX('I2016'!M$5:M$90,MATCH($C133,'I2016'!$A$5:$A$90,0)),"")</f>
        <v>12265.91</v>
      </c>
      <c r="AB133" s="23">
        <f>IFERROR(INDEX('I2017'!B$5:B$96,MATCH($C133,'I2017'!$A$5:$A$96,0)),"")</f>
        <v>12484.28</v>
      </c>
      <c r="AC133" s="23">
        <f>IFERROR(INDEX('I2017'!C$5:C$96,MATCH($C133,'I2017'!$A$5:$A$96,0)),"")</f>
        <v>16845.669999999998</v>
      </c>
      <c r="AD133" s="23">
        <f>IFERROR(INDEX('I2017'!D$5:D$96,MATCH($C133,'I2017'!$A$5:$A$96,0)),"")</f>
        <v>18014.060000000001</v>
      </c>
      <c r="AE133" s="23">
        <f>IFERROR(INDEX('I2017'!E$5:E$96,MATCH($C133,'I2017'!$A$5:$A$96,0)),"")</f>
        <v>29499.98</v>
      </c>
      <c r="AF133" s="23">
        <f>IFERROR(INDEX('I2017'!F$5:F$96,MATCH($C133,'I2017'!$A$5:$A$96,0)),"")</f>
        <v>26180.28</v>
      </c>
      <c r="AG133" s="23">
        <f>IFERROR(INDEX('I2017'!G$5:G$96,MATCH($C133,'I2017'!$A$5:$A$96,0)),"")</f>
        <v>22552.01</v>
      </c>
      <c r="AH133" s="23">
        <f>IFERROR(INDEX('I2017'!H$5:H$96,MATCH($C133,'I2017'!$A$5:$A$96,0)),"")</f>
        <v>24698.31</v>
      </c>
      <c r="AI133" s="23">
        <f>IFERROR(INDEX('I2017'!I$5:I$96,MATCH($C133,'I2017'!$A$5:$A$96,0)),"")</f>
        <v>26842.36</v>
      </c>
      <c r="AJ133" s="23">
        <f>IFERROR(INDEX('I2017'!J$5:J$96,MATCH($C133,'I2017'!$A$5:$A$96,0)),"")</f>
        <v>25764.82</v>
      </c>
      <c r="AK133" s="23">
        <f>IFERROR(INDEX('I2017'!K$5:K$96,MATCH($C133,'I2017'!$A$5:$A$96,0)),"")</f>
        <v>28769.68</v>
      </c>
      <c r="AL133" s="23">
        <f>IFERROR(INDEX('I2017'!L$5:L$96,MATCH($C133,'I2017'!$A$5:$A$96,0)),"")</f>
        <v>44504.52</v>
      </c>
      <c r="AM133" s="23">
        <f>IFERROR(INDEX('I2017'!M$5:M$96,MATCH($C133,'I2017'!$A$5:$A$96,0)),"")</f>
        <v>30615.98</v>
      </c>
      <c r="AN133" s="23">
        <f>IFERROR(INDEX('I2018'!B$5:B$107,MATCH($C133,'I2018'!$A$5:$A$107,0)),"")</f>
        <v>26620.63</v>
      </c>
      <c r="AO133" s="23">
        <f>IFERROR(INDEX('I2018'!C$5:C$107,MATCH($C133,'I2018'!$A$5:$A$107,0)),"")</f>
        <v>32172.720000000001</v>
      </c>
      <c r="AP133" s="23">
        <f>IFERROR(INDEX('I2018'!D$5:D$107,MATCH($C133,'I2018'!$A$5:$A$107,0)),"")</f>
        <v>45797.72</v>
      </c>
      <c r="AQ133" s="23">
        <f>IFERROR(INDEX('I2018'!E$5:E$107,MATCH($C133,'I2018'!$A$5:$A$107,0)),"")</f>
        <v>87635.489999999991</v>
      </c>
      <c r="AR133" s="23">
        <f>IFERROR(INDEX('I2018'!F$5:F$107,MATCH($C133,'I2018'!$A$5:$A$107,0)),"")</f>
        <v>109087.09</v>
      </c>
      <c r="AS133" s="23">
        <f>IFERROR(INDEX('I2018'!G$5:G$107,MATCH($C133,'I2018'!$A$5:$A$107,0)),"")</f>
        <v>132069.53</v>
      </c>
      <c r="AT133" s="23">
        <f>IFERROR(INDEX('I2018'!H$5:H$107,MATCH($C133,'I2018'!$A$5:$A$107,0)),"")</f>
        <v>85433.069999999992</v>
      </c>
      <c r="AU133" s="23">
        <f>IFERROR(INDEX('I2018'!I$5:I$107,MATCH($C133,'I2018'!$A$5:$A$107,0)),"")</f>
        <v>120994.91</v>
      </c>
      <c r="AV133" s="23">
        <f>IFERROR(INDEX('I2018'!J$5:J$107,MATCH($C133,'I2018'!$A$5:$A$107,0)),"")</f>
        <v>144109.28999999998</v>
      </c>
      <c r="AW133" s="23">
        <f>IFERROR(INDEX('I2018'!K$5:K$107,MATCH($C133,'I2018'!$A$5:$A$107,0)),"")</f>
        <v>153590.14000000001</v>
      </c>
      <c r="AX133" s="23">
        <f>IFERROR(INDEX('I2018'!L$5:L$107,MATCH($C133,'I2018'!$A$5:$A$107,0)),"")</f>
        <v>233099.35</v>
      </c>
      <c r="AY133" s="23">
        <f>IFERROR(INDEX('I2018'!M$5:M$107,MATCH($C133,'I2018'!$A$5:$A$107,0)),"")</f>
        <v>274727.64</v>
      </c>
      <c r="AZ133" s="23">
        <f>IFERROR(INDEX('I2019'!B$5:B$112,MATCH($C133,'I2019'!$A$5:$A$112,0)),"")</f>
        <v>235544.22</v>
      </c>
      <c r="BA133" s="23">
        <f>IFERROR(INDEX('I2019'!C$5:C$112,MATCH($C133,'I2019'!$A$5:$A$112,0)),"")</f>
        <v>262637.12</v>
      </c>
      <c r="BB133" s="23">
        <f>IFERROR(INDEX('I2019'!D$5:D$112,MATCH($C133,'I2019'!$A$5:$A$112,0)),"")</f>
        <v>244111.18</v>
      </c>
      <c r="BC133" s="23">
        <f>IFERROR(INDEX('I2019'!E$5:E$112,MATCH($C133,'I2019'!$A$5:$A$112,0)),"")</f>
        <v>234399.87</v>
      </c>
      <c r="BD133" s="23">
        <f>IFERROR(INDEX('I2019'!F$5:F$112,MATCH($C133,'I2019'!$A$5:$A$112,0)),"")</f>
        <v>355370.96</v>
      </c>
      <c r="BE133" s="23">
        <f>IFERROR(INDEX('I2019'!G$5:G$112,MATCH($C133,'I2019'!$A$5:$A$112,0)),"")</f>
        <v>260903.62</v>
      </c>
      <c r="BF133" s="23">
        <f>IFERROR(INDEX('I2019'!H$5:H$112,MATCH($C133,'I2019'!$A$5:$A$112,0)),"")</f>
        <v>275060.23</v>
      </c>
      <c r="BG133" s="23">
        <f>IFERROR(INDEX('I2019'!I$5:I$112,MATCH($C133,'I2019'!$A$5:$A$112,0)),"")</f>
        <v>293409.25</v>
      </c>
      <c r="BH133" s="23">
        <f>IFERROR(INDEX('I2019'!J$5:J$112,MATCH($C133,'I2019'!$A$5:$A$112,0)),"")</f>
        <v>257177.14</v>
      </c>
      <c r="BI133" s="23">
        <f>IFERROR(INDEX('I2019'!K$5:K$112,MATCH($C133,'I2019'!$A$5:$A$112,0)),"")</f>
        <v>402849.43</v>
      </c>
      <c r="BJ133" s="23">
        <f>IFERROR(INDEX('I2019'!L$5:L$112,MATCH($C133,'I2019'!$A$5:$A$112,0)),"")</f>
        <v>228659.18</v>
      </c>
      <c r="BK133" s="23">
        <f>IFERROR(INDEX('I2019'!M$5:M$112,MATCH($C133,'I2019'!$A$5:$A$112,0)),"")</f>
        <v>223835.85</v>
      </c>
      <c r="BL133" s="23">
        <f>IFERROR(INDEX('I2020'!B$5:B$113,MATCH($C133,'I2020'!$A$5:$A$113,0)),"")</f>
        <v>201019.49</v>
      </c>
      <c r="BM133" s="23">
        <f>IFERROR(INDEX('I2020'!C$5:C$113,MATCH($C133,'I2020'!$A$5:$A$113,0)),"")</f>
        <v>205863.25</v>
      </c>
      <c r="BN133" s="23">
        <f>IFERROR(INDEX('I2020'!D$5:D$113,MATCH($C133,'I2020'!$A$5:$A$113,0)),"")</f>
        <v>207861.79</v>
      </c>
      <c r="BO133" s="23">
        <f>IFERROR(INDEX('I2020'!E$5:E$113,MATCH($C133,'I2020'!$A$5:$A$113,0)),"")</f>
        <v>299544.65000000002</v>
      </c>
      <c r="BP133" s="23">
        <f>IFERROR(INDEX('I2020'!F$5:F$113,MATCH($C133,'I2020'!$A$5:$A$113,0)),"")</f>
        <v>229609.53</v>
      </c>
      <c r="BQ133" s="396">
        <f>IFERROR(INDEX('I2020'!G$5:G$113,MATCH($C133,'I2020'!$A$5:$A$113,0)),"")</f>
        <v>273496.19</v>
      </c>
      <c r="BR133" s="66">
        <f t="shared" ref="BQ133:CI133" si="101">$B133*BR$31</f>
        <v>339190.87091619847</v>
      </c>
      <c r="BS133" s="66">
        <f t="shared" si="101"/>
        <v>343953.24038412911</v>
      </c>
      <c r="BT133" s="66">
        <f t="shared" si="101"/>
        <v>352119.16857754381</v>
      </c>
      <c r="BU133" s="66">
        <f t="shared" si="101"/>
        <v>363269.30570849002</v>
      </c>
      <c r="BV133" s="66">
        <f t="shared" si="101"/>
        <v>377083.85366403434</v>
      </c>
      <c r="BW133" s="66">
        <f t="shared" si="101"/>
        <v>393323.59657430422</v>
      </c>
      <c r="BX133" s="66">
        <f t="shared" si="101"/>
        <v>407690.23860716645</v>
      </c>
      <c r="BY133" s="66">
        <f t="shared" si="101"/>
        <v>420579.02265367191</v>
      </c>
      <c r="BZ133" s="66">
        <f t="shared" si="101"/>
        <v>432306.45236739545</v>
      </c>
      <c r="CA133" s="66">
        <f t="shared" si="101"/>
        <v>443126.04465204105</v>
      </c>
      <c r="CB133" s="66">
        <f t="shared" si="101"/>
        <v>453240.93172112951</v>
      </c>
      <c r="CC133" s="66">
        <f t="shared" si="101"/>
        <v>462813.94281639263</v>
      </c>
      <c r="CD133" s="66">
        <f t="shared" si="101"/>
        <v>471975.66965419549</v>
      </c>
      <c r="CE133" s="66">
        <f t="shared" si="101"/>
        <v>480830.91885545396</v>
      </c>
      <c r="CF133" s="66">
        <f t="shared" si="101"/>
        <v>489463.87396344228</v>
      </c>
      <c r="CG133" s="66">
        <f t="shared" si="101"/>
        <v>497942.22513301898</v>
      </c>
      <c r="CH133" s="66">
        <f t="shared" si="101"/>
        <v>506320.47295811429</v>
      </c>
      <c r="CI133" s="150">
        <f t="shared" si="101"/>
        <v>514642.57161096617</v>
      </c>
      <c r="CJ133" s="289"/>
    </row>
    <row r="134" spans="1:88" x14ac:dyDescent="0.3">
      <c r="A134" s="33"/>
      <c r="B134" s="166"/>
      <c r="C134" s="26" t="s">
        <v>99</v>
      </c>
      <c r="D134" s="23">
        <f>IFERROR(INDEX('I2015'!B$5:B$73,MATCH($C134,'I2015'!$A$5:$A$73,0)),"")</f>
        <v>5189.83</v>
      </c>
      <c r="E134" s="23">
        <f>IFERROR(INDEX('I2015'!C$5:C$73,MATCH($C134,'I2015'!$A$5:$A$73,0)),"")</f>
        <v>7213.45</v>
      </c>
      <c r="F134" s="23">
        <f>IFERROR(INDEX('I2015'!D$5:D$73,MATCH($C134,'I2015'!$A$5:$A$73,0)),"")</f>
        <v>9453.31</v>
      </c>
      <c r="G134" s="23">
        <f>IFERROR(INDEX('I2015'!E$5:E$73,MATCH($C134,'I2015'!$A$5:$A$73,0)),"")</f>
        <v>3227.98</v>
      </c>
      <c r="H134" s="23">
        <f>IFERROR(INDEX('I2015'!F$5:F$73,MATCH($C134,'I2015'!$A$5:$A$73,0)),"")</f>
        <v>1752.2</v>
      </c>
      <c r="I134" s="23">
        <f>IFERROR(INDEX('I2015'!G$5:G$73,MATCH($C134,'I2015'!$A$5:$A$73,0)),"")</f>
        <v>3397.93</v>
      </c>
      <c r="J134" s="23">
        <f>IFERROR(INDEX('I2015'!H$5:H$73,MATCH($C134,'I2015'!$A$5:$A$73,0)),"")</f>
        <v>2864.71</v>
      </c>
      <c r="K134" s="23">
        <f>IFERROR(INDEX('I2015'!I$5:I$73,MATCH($C134,'I2015'!$A$5:$A$73,0)),"")</f>
        <v>3815.28</v>
      </c>
      <c r="L134" s="23">
        <f>IFERROR(INDEX('I2015'!J$5:J$73,MATCH($C134,'I2015'!$A$5:$A$73,0)),"")</f>
        <v>3459.41</v>
      </c>
      <c r="M134" s="23">
        <f>IFERROR(INDEX('I2015'!K$5:K$73,MATCH($C134,'I2015'!$A$5:$A$73,0)),"")</f>
        <v>4318.8500000000004</v>
      </c>
      <c r="N134" s="23">
        <f>IFERROR(INDEX('I2015'!L$5:L$73,MATCH($C134,'I2015'!$A$5:$A$73,0)),"")</f>
        <v>7653.04</v>
      </c>
      <c r="O134" s="23">
        <f>IFERROR(INDEX('I2015'!M$5:M$73,MATCH($C134,'I2015'!$A$5:$A$73,0)),"")</f>
        <v>14338.15</v>
      </c>
      <c r="P134" s="23">
        <f>IFERROR(INDEX('I2016'!B$5:B$90,MATCH($C134,'I2016'!$A$5:$A$90,0)),"")</f>
        <v>18185.98</v>
      </c>
      <c r="Q134" s="23">
        <f>IFERROR(INDEX('I2016'!C$5:C$90,MATCH($C134,'I2016'!$A$5:$A$90,0)),"")</f>
        <v>21665.75</v>
      </c>
      <c r="R134" s="23">
        <f>IFERROR(INDEX('I2016'!D$5:D$90,MATCH($C134,'I2016'!$A$5:$A$90,0)),"")</f>
        <v>23388.880000000001</v>
      </c>
      <c r="S134" s="23">
        <f>IFERROR(INDEX('I2016'!E$5:E$90,MATCH($C134,'I2016'!$A$5:$A$90,0)),"")</f>
        <v>23782.47</v>
      </c>
      <c r="T134" s="23">
        <f>IFERROR(INDEX('I2016'!F$5:F$90,MATCH($C134,'I2016'!$A$5:$A$90,0)),"")</f>
        <v>33534.840000000004</v>
      </c>
      <c r="U134" s="23">
        <f>IFERROR(INDEX('I2016'!G$5:G$90,MATCH($C134,'I2016'!$A$5:$A$90,0)),"")</f>
        <v>25349.919999999998</v>
      </c>
      <c r="V134" s="23">
        <f>IFERROR(INDEX('I2016'!H$5:H$90,MATCH($C134,'I2016'!$A$5:$A$90,0)),"")</f>
        <v>25940.240000000002</v>
      </c>
      <c r="W134" s="23">
        <f>IFERROR(INDEX('I2016'!I$5:I$90,MATCH($C134,'I2016'!$A$5:$A$90,0)),"")</f>
        <v>29337.09</v>
      </c>
      <c r="X134" s="23">
        <f>IFERROR(INDEX('I2016'!J$5:J$90,MATCH($C134,'I2016'!$A$5:$A$90,0)),"")</f>
        <v>27675.82</v>
      </c>
      <c r="Y134" s="23">
        <f>IFERROR(INDEX('I2016'!K$5:K$90,MATCH($C134,'I2016'!$A$5:$A$90,0)),"")</f>
        <v>39675.730000000003</v>
      </c>
      <c r="Z134" s="23">
        <f>IFERROR(INDEX('I2016'!L$5:L$90,MATCH($C134,'I2016'!$A$5:$A$90,0)),"")</f>
        <v>32126.190000000002</v>
      </c>
      <c r="AA134" s="23">
        <f>IFERROR(INDEX('I2016'!M$5:M$90,MATCH($C134,'I2016'!$A$5:$A$90,0)),"")</f>
        <v>33845.97</v>
      </c>
      <c r="AB134" s="23">
        <f>IFERROR(INDEX('I2017'!B$5:B$96,MATCH($C134,'I2017'!$A$5:$A$96,0)),"")</f>
        <v>32497.040000000001</v>
      </c>
      <c r="AC134" s="23">
        <f>IFERROR(INDEX('I2017'!C$5:C$96,MATCH($C134,'I2017'!$A$5:$A$96,0)),"")</f>
        <v>41545.399999999994</v>
      </c>
      <c r="AD134" s="23">
        <f>IFERROR(INDEX('I2017'!D$5:D$96,MATCH($C134,'I2017'!$A$5:$A$96,0)),"")</f>
        <v>45689.41</v>
      </c>
      <c r="AE134" s="23">
        <f>IFERROR(INDEX('I2017'!E$5:E$96,MATCH($C134,'I2017'!$A$5:$A$96,0)),"")</f>
        <v>71268.37000000001</v>
      </c>
      <c r="AF134" s="23">
        <f>IFERROR(INDEX('I2017'!F$5:F$96,MATCH($C134,'I2017'!$A$5:$A$96,0)),"")</f>
        <v>53719.759999999995</v>
      </c>
      <c r="AG134" s="23">
        <f>IFERROR(INDEX('I2017'!G$5:G$96,MATCH($C134,'I2017'!$A$5:$A$96,0)),"")</f>
        <v>50255.97</v>
      </c>
      <c r="AH134" s="23">
        <f>IFERROR(INDEX('I2017'!H$5:H$96,MATCH($C134,'I2017'!$A$5:$A$96,0)),"")</f>
        <v>56362.880000000005</v>
      </c>
      <c r="AI134" s="23">
        <f>IFERROR(INDEX('I2017'!I$5:I$96,MATCH($C134,'I2017'!$A$5:$A$96,0)),"")</f>
        <v>59805.02</v>
      </c>
      <c r="AJ134" s="23">
        <f>IFERROR(INDEX('I2017'!J$5:J$96,MATCH($C134,'I2017'!$A$5:$A$96,0)),"")</f>
        <v>55901.31</v>
      </c>
      <c r="AK134" s="23">
        <f>IFERROR(INDEX('I2017'!K$5:K$96,MATCH($C134,'I2017'!$A$5:$A$96,0)),"")</f>
        <v>65691.740000000005</v>
      </c>
      <c r="AL134" s="23">
        <f>IFERROR(INDEX('I2017'!L$5:L$96,MATCH($C134,'I2017'!$A$5:$A$96,0)),"")</f>
        <v>90836.7</v>
      </c>
      <c r="AM134" s="23">
        <f>IFERROR(INDEX('I2017'!M$5:M$96,MATCH($C134,'I2017'!$A$5:$A$96,0)),"")</f>
        <v>63052.58</v>
      </c>
      <c r="AN134" s="23">
        <f>IFERROR(INDEX('I2018'!B$5:B$107,MATCH($C134,'I2018'!$A$5:$A$107,0)),"")</f>
        <v>59962.460000000006</v>
      </c>
      <c r="AO134" s="23">
        <f>IFERROR(INDEX('I2018'!C$5:C$107,MATCH($C134,'I2018'!$A$5:$A$107,0)),"")</f>
        <v>67035.709999999992</v>
      </c>
      <c r="AP134" s="23">
        <f>IFERROR(INDEX('I2018'!D$5:D$107,MATCH($C134,'I2018'!$A$5:$A$107,0)),"")</f>
        <v>83504.87</v>
      </c>
      <c r="AQ134" s="23">
        <f>IFERROR(INDEX('I2018'!E$5:E$107,MATCH($C134,'I2018'!$A$5:$A$107,0)),"")</f>
        <v>125522.76</v>
      </c>
      <c r="AR134" s="23">
        <f>IFERROR(INDEX('I2018'!F$5:F$107,MATCH($C134,'I2018'!$A$5:$A$107,0)),"")</f>
        <v>152436.99</v>
      </c>
      <c r="AS134" s="23">
        <f>IFERROR(INDEX('I2018'!G$5:G$107,MATCH($C134,'I2018'!$A$5:$A$107,0)),"")</f>
        <v>181648.5</v>
      </c>
      <c r="AT134" s="23">
        <f>IFERROR(INDEX('I2018'!H$5:H$107,MATCH($C134,'I2018'!$A$5:$A$107,0)),"")</f>
        <v>134261.43</v>
      </c>
      <c r="AU134" s="23">
        <f>IFERROR(INDEX('I2018'!I$5:I$107,MATCH($C134,'I2018'!$A$5:$A$107,0)),"")</f>
        <v>181882.72</v>
      </c>
      <c r="AV134" s="23">
        <f>IFERROR(INDEX('I2018'!J$5:J$107,MATCH($C134,'I2018'!$A$5:$A$107,0)),"")</f>
        <v>230186.31999999998</v>
      </c>
      <c r="AW134" s="23">
        <f>IFERROR(INDEX('I2018'!K$5:K$107,MATCH($C134,'I2018'!$A$5:$A$107,0)),"")</f>
        <v>250064.94</v>
      </c>
      <c r="AX134" s="23">
        <f>IFERROR(INDEX('I2018'!L$5:L$107,MATCH($C134,'I2018'!$A$5:$A$107,0)),"")</f>
        <v>361927.05</v>
      </c>
      <c r="AY134" s="23">
        <f>IFERROR(INDEX('I2018'!M$5:M$107,MATCH($C134,'I2018'!$A$5:$A$107,0)),"")</f>
        <v>381535.33</v>
      </c>
      <c r="AZ134" s="23">
        <f>IFERROR(INDEX('I2019'!B$5:B$112,MATCH($C134,'I2019'!$A$5:$A$112,0)),"")</f>
        <v>338529.19</v>
      </c>
      <c r="BA134" s="23">
        <f>IFERROR(INDEX('I2019'!C$5:C$112,MATCH($C134,'I2019'!$A$5:$A$112,0)),"")</f>
        <v>370938.82999999996</v>
      </c>
      <c r="BB134" s="23">
        <f>IFERROR(INDEX('I2019'!D$5:D$112,MATCH($C134,'I2019'!$A$5:$A$112,0)),"")</f>
        <v>346248.45999999996</v>
      </c>
      <c r="BC134" s="23">
        <f>IFERROR(INDEX('I2019'!E$5:E$112,MATCH($C134,'I2019'!$A$5:$A$112,0)),"")</f>
        <v>377474.89</v>
      </c>
      <c r="BD134" s="23">
        <f>IFERROR(INDEX('I2019'!F$5:F$112,MATCH($C134,'I2019'!$A$5:$A$112,0)),"")</f>
        <v>459154.57</v>
      </c>
      <c r="BE134" s="23">
        <f>IFERROR(INDEX('I2019'!G$5:G$112,MATCH($C134,'I2019'!$A$5:$A$112,0)),"")</f>
        <v>361143.43</v>
      </c>
      <c r="BF134" s="23">
        <f>IFERROR(INDEX('I2019'!H$5:H$112,MATCH($C134,'I2019'!$A$5:$A$112,0)),"")</f>
        <v>390528.22</v>
      </c>
      <c r="BG134" s="23">
        <f>IFERROR(INDEX('I2019'!I$5:I$112,MATCH($C134,'I2019'!$A$5:$A$112,0)),"")</f>
        <v>387353.03</v>
      </c>
      <c r="BH134" s="23">
        <f>IFERROR(INDEX('I2019'!J$5:J$112,MATCH($C134,'I2019'!$A$5:$A$112,0)),"")</f>
        <v>361541</v>
      </c>
      <c r="BI134" s="23">
        <f>IFERROR(INDEX('I2019'!K$5:K$112,MATCH($C134,'I2019'!$A$5:$A$112,0)),"")</f>
        <v>518463.82999999996</v>
      </c>
      <c r="BJ134" s="23">
        <f>IFERROR(INDEX('I2019'!L$5:L$112,MATCH($C134,'I2019'!$A$5:$A$112,0)),"")</f>
        <v>339188.77</v>
      </c>
      <c r="BK134" s="23">
        <f>IFERROR(INDEX('I2019'!M$5:M$112,MATCH($C134,'I2019'!$A$5:$A$112,0)),"")</f>
        <v>345122.41000000003</v>
      </c>
      <c r="BL134" s="23">
        <f>IFERROR(INDEX('I2020'!B$5:B$113,MATCH($C134,'I2020'!$A$5:$A$113,0)),"")</f>
        <v>298747.82999999996</v>
      </c>
      <c r="BM134" s="23">
        <f>IFERROR(INDEX('I2020'!C$5:C$113,MATCH($C134,'I2020'!$A$5:$A$113,0)),"")</f>
        <v>317674.74</v>
      </c>
      <c r="BN134" s="23">
        <f>IFERROR(INDEX('I2020'!D$5:D$113,MATCH($C134,'I2020'!$A$5:$A$113,0)),"")</f>
        <v>334159.59999999998</v>
      </c>
      <c r="BO134" s="23">
        <f>IFERROR(INDEX('I2020'!E$5:E$113,MATCH($C134,'I2020'!$A$5:$A$113,0)),"")</f>
        <v>538667.74</v>
      </c>
      <c r="BP134" s="23">
        <f>IFERROR(INDEX('I2020'!F$5:F$113,MATCH($C134,'I2020'!$A$5:$A$113,0)),"")</f>
        <v>346578.1</v>
      </c>
      <c r="BQ134" s="396">
        <f>IFERROR(INDEX('I2020'!G$5:G$113,MATCH($C134,'I2020'!$A$5:$A$113,0)),"")</f>
        <v>397444</v>
      </c>
      <c r="BR134" s="66">
        <f t="shared" ref="BQ134:CI134" si="102">BR133+BR131+BR129+BR126</f>
        <v>478415.96544400649</v>
      </c>
      <c r="BS134" s="66">
        <f t="shared" si="102"/>
        <v>485133.10845156101</v>
      </c>
      <c r="BT134" s="66">
        <f t="shared" si="102"/>
        <v>496650.84302338609</v>
      </c>
      <c r="BU134" s="66">
        <f t="shared" si="102"/>
        <v>512377.69205657428</v>
      </c>
      <c r="BV134" s="66">
        <f t="shared" si="102"/>
        <v>531862.59234139696</v>
      </c>
      <c r="BW134" s="66">
        <f t="shared" si="102"/>
        <v>554768.13889102312</v>
      </c>
      <c r="BX134" s="66">
        <f t="shared" si="102"/>
        <v>575031.74710599286</v>
      </c>
      <c r="BY134" s="66">
        <f t="shared" si="102"/>
        <v>593210.89221786603</v>
      </c>
      <c r="BZ134" s="66">
        <f t="shared" si="102"/>
        <v>609751.99072536081</v>
      </c>
      <c r="CA134" s="66">
        <f t="shared" si="102"/>
        <v>625012.61868562247</v>
      </c>
      <c r="CB134" s="66">
        <f t="shared" si="102"/>
        <v>639279.28644541197</v>
      </c>
      <c r="CC134" s="66">
        <f t="shared" si="102"/>
        <v>652781.65852569707</v>
      </c>
      <c r="CD134" s="66">
        <f t="shared" si="102"/>
        <v>665703.92963046581</v>
      </c>
      <c r="CE134" s="66">
        <f t="shared" si="102"/>
        <v>678193.92555642931</v>
      </c>
      <c r="CF134" s="66">
        <f t="shared" si="102"/>
        <v>690370.38402498106</v>
      </c>
      <c r="CG134" s="66">
        <f t="shared" si="102"/>
        <v>702328.77945351985</v>
      </c>
      <c r="CH134" s="66">
        <f t="shared" si="102"/>
        <v>714145.98287985404</v>
      </c>
      <c r="CI134" s="150">
        <f t="shared" si="102"/>
        <v>725883.99001067702</v>
      </c>
      <c r="CJ134" s="289"/>
    </row>
    <row r="135" spans="1:88" x14ac:dyDescent="0.3">
      <c r="A135" s="33"/>
      <c r="B135" s="166"/>
      <c r="C135" s="26" t="s">
        <v>100</v>
      </c>
      <c r="D135" s="78">
        <f>IFERROR(INDEX('I2015'!B$5:B$73,MATCH($C135,'I2015'!$A$5:$A$73,0)),"")</f>
        <v>5652.53</v>
      </c>
      <c r="E135" s="78">
        <f>IFERROR(INDEX('I2015'!C$5:C$73,MATCH($C135,'I2015'!$A$5:$A$73,0)),"")</f>
        <v>7828.67</v>
      </c>
      <c r="F135" s="78">
        <f>IFERROR(INDEX('I2015'!D$5:D$73,MATCH($C135,'I2015'!$A$5:$A$73,0)),"")</f>
        <v>10202.58</v>
      </c>
      <c r="G135" s="78">
        <f>IFERROR(INDEX('I2015'!E$5:E$73,MATCH($C135,'I2015'!$A$5:$A$73,0)),"")</f>
        <v>10543.36</v>
      </c>
      <c r="H135" s="78">
        <f>IFERROR(INDEX('I2015'!F$5:F$73,MATCH($C135,'I2015'!$A$5:$A$73,0)),"")</f>
        <v>9347.91</v>
      </c>
      <c r="I135" s="78">
        <f>IFERROR(INDEX('I2015'!G$5:G$73,MATCH($C135,'I2015'!$A$5:$A$73,0)),"")</f>
        <v>19809.87</v>
      </c>
      <c r="J135" s="78">
        <f>IFERROR(INDEX('I2015'!H$5:H$73,MATCH($C135,'I2015'!$A$5:$A$73,0)),"")</f>
        <v>7696.57</v>
      </c>
      <c r="K135" s="78">
        <f>IFERROR(INDEX('I2015'!I$5:I$73,MATCH($C135,'I2015'!$A$5:$A$73,0)),"")</f>
        <v>10854.210000000001</v>
      </c>
      <c r="L135" s="78">
        <f>IFERROR(INDEX('I2015'!J$5:J$73,MATCH($C135,'I2015'!$A$5:$A$73,0)),"")</f>
        <v>12413.869999999999</v>
      </c>
      <c r="M135" s="78">
        <f>IFERROR(INDEX('I2015'!K$5:K$73,MATCH($C135,'I2015'!$A$5:$A$73,0)),"")</f>
        <v>14166.92</v>
      </c>
      <c r="N135" s="78">
        <f>IFERROR(INDEX('I2015'!L$5:L$73,MATCH($C135,'I2015'!$A$5:$A$73,0)),"")</f>
        <v>13192.82</v>
      </c>
      <c r="O135" s="78">
        <f>IFERROR(INDEX('I2015'!M$5:M$73,MATCH($C135,'I2015'!$A$5:$A$73,0)),"")</f>
        <v>16681.43</v>
      </c>
      <c r="P135" s="78">
        <f>IFERROR(INDEX('I2016'!B$5:B$90,MATCH($C135,'I2016'!$A$5:$A$90,0)),"")</f>
        <v>19460.86</v>
      </c>
      <c r="Q135" s="78">
        <f>IFERROR(INDEX('I2016'!C$5:C$90,MATCH($C135,'I2016'!$A$5:$A$90,0)),"")</f>
        <v>23037.66</v>
      </c>
      <c r="R135" s="78">
        <f>IFERROR(INDEX('I2016'!D$5:D$90,MATCH($C135,'I2016'!$A$5:$A$90,0)),"")</f>
        <v>25534.82</v>
      </c>
      <c r="S135" s="78">
        <f>IFERROR(INDEX('I2016'!E$5:E$90,MATCH($C135,'I2016'!$A$5:$A$90,0)),"")</f>
        <v>25875.57</v>
      </c>
      <c r="T135" s="78">
        <f>IFERROR(INDEX('I2016'!F$5:F$90,MATCH($C135,'I2016'!$A$5:$A$90,0)),"")</f>
        <v>36186.630000000005</v>
      </c>
      <c r="U135" s="78">
        <f>IFERROR(INDEX('I2016'!G$5:G$90,MATCH($C135,'I2016'!$A$5:$A$90,0)),"")</f>
        <v>27103.589999999997</v>
      </c>
      <c r="V135" s="78">
        <f>IFERROR(INDEX('I2016'!H$5:H$90,MATCH($C135,'I2016'!$A$5:$A$90,0)),"")</f>
        <v>27586.57</v>
      </c>
      <c r="W135" s="78">
        <f>IFERROR(INDEX('I2016'!I$5:I$90,MATCH($C135,'I2016'!$A$5:$A$90,0)),"")</f>
        <v>30806.73</v>
      </c>
      <c r="X135" s="78">
        <f>IFERROR(INDEX('I2016'!J$5:J$90,MATCH($C135,'I2016'!$A$5:$A$90,0)),"")</f>
        <v>29172.97</v>
      </c>
      <c r="Y135" s="78">
        <f>IFERROR(INDEX('I2016'!K$5:K$90,MATCH($C135,'I2016'!$A$5:$A$90,0)),"")</f>
        <v>42352.44</v>
      </c>
      <c r="Z135" s="78">
        <f>IFERROR(INDEX('I2016'!L$5:L$90,MATCH($C135,'I2016'!$A$5:$A$90,0)),"")</f>
        <v>33843.770000000004</v>
      </c>
      <c r="AA135" s="78">
        <f>IFERROR(INDEX('I2016'!M$5:M$90,MATCH($C135,'I2016'!$A$5:$A$90,0)),"")</f>
        <v>35094.99</v>
      </c>
      <c r="AB135" s="78">
        <f>IFERROR(INDEX('I2017'!B$5:B$96,MATCH($C135,'I2017'!$A$5:$A$96,0)),"")</f>
        <v>34927.54</v>
      </c>
      <c r="AC135" s="78">
        <f>IFERROR(INDEX('I2017'!C$5:C$96,MATCH($C135,'I2017'!$A$5:$A$96,0)),"")</f>
        <v>44666.2</v>
      </c>
      <c r="AD135" s="78">
        <f>IFERROR(INDEX('I2017'!D$5:D$96,MATCH($C135,'I2017'!$A$5:$A$96,0)),"")</f>
        <v>51395.86</v>
      </c>
      <c r="AE135" s="78">
        <f>IFERROR(INDEX('I2017'!E$5:E$96,MATCH($C135,'I2017'!$A$5:$A$96,0)),"")</f>
        <v>77976.19</v>
      </c>
      <c r="AF135" s="78">
        <f>IFERROR(INDEX('I2017'!F$5:F$96,MATCH($C135,'I2017'!$A$5:$A$96,0)),"")</f>
        <v>59872.739999999991</v>
      </c>
      <c r="AG135" s="78">
        <f>IFERROR(INDEX('I2017'!G$5:G$96,MATCH($C135,'I2017'!$A$5:$A$96,0)),"")</f>
        <v>55939.81</v>
      </c>
      <c r="AH135" s="78">
        <f>IFERROR(INDEX('I2017'!H$5:H$96,MATCH($C135,'I2017'!$A$5:$A$96,0)),"")</f>
        <v>62432.340000000004</v>
      </c>
      <c r="AI135" s="78">
        <f>IFERROR(INDEX('I2017'!I$5:I$96,MATCH($C135,'I2017'!$A$5:$A$96,0)),"")</f>
        <v>66292.37999999999</v>
      </c>
      <c r="AJ135" s="78">
        <f>IFERROR(INDEX('I2017'!J$5:J$96,MATCH($C135,'I2017'!$A$5:$A$96,0)),"")</f>
        <v>62028.939999999995</v>
      </c>
      <c r="AK135" s="78">
        <f>IFERROR(INDEX('I2017'!K$5:K$96,MATCH($C135,'I2017'!$A$5:$A$96,0)),"")</f>
        <v>72024.740000000005</v>
      </c>
      <c r="AL135" s="78">
        <f>IFERROR(INDEX('I2017'!L$5:L$96,MATCH($C135,'I2017'!$A$5:$A$96,0)),"")</f>
        <v>99547.45</v>
      </c>
      <c r="AM135" s="78">
        <f>IFERROR(INDEX('I2017'!M$5:M$96,MATCH($C135,'I2017'!$A$5:$A$96,0)),"")</f>
        <v>73361.13</v>
      </c>
      <c r="AN135" s="78">
        <f>IFERROR(INDEX('I2018'!B$5:B$107,MATCH($C135,'I2018'!$A$5:$A$107,0)),"")</f>
        <v>69539.03</v>
      </c>
      <c r="AO135" s="78">
        <f>IFERROR(INDEX('I2018'!C$5:C$107,MATCH($C135,'I2018'!$A$5:$A$107,0)),"")</f>
        <v>75661.399999999994</v>
      </c>
      <c r="AP135" s="78">
        <f>IFERROR(INDEX('I2018'!D$5:D$107,MATCH($C135,'I2018'!$A$5:$A$107,0)),"")</f>
        <v>91131.799999999988</v>
      </c>
      <c r="AQ135" s="78">
        <f>IFERROR(INDEX('I2018'!E$5:E$107,MATCH($C135,'I2018'!$A$5:$A$107,0)),"")</f>
        <v>136365.72999999998</v>
      </c>
      <c r="AR135" s="78">
        <f>IFERROR(INDEX('I2018'!F$5:F$107,MATCH($C135,'I2018'!$A$5:$A$107,0)),"")</f>
        <v>163825.72999999998</v>
      </c>
      <c r="AS135" s="78">
        <f>IFERROR(INDEX('I2018'!G$5:G$107,MATCH($C135,'I2018'!$A$5:$A$107,0)),"")</f>
        <v>217184.38</v>
      </c>
      <c r="AT135" s="78">
        <f>IFERROR(INDEX('I2018'!H$5:H$107,MATCH($C135,'I2018'!$A$5:$A$107,0)),"")</f>
        <v>167472.25</v>
      </c>
      <c r="AU135" s="78">
        <f>IFERROR(INDEX('I2018'!I$5:I$107,MATCH($C135,'I2018'!$A$5:$A$107,0)),"")</f>
        <v>226472.4</v>
      </c>
      <c r="AV135" s="78">
        <f>IFERROR(INDEX('I2018'!J$5:J$107,MATCH($C135,'I2018'!$A$5:$A$107,0)),"")</f>
        <v>257255.94999999998</v>
      </c>
      <c r="AW135" s="78">
        <f>IFERROR(INDEX('I2018'!K$5:K$107,MATCH($C135,'I2018'!$A$5:$A$107,0)),"")</f>
        <v>279999.84999999998</v>
      </c>
      <c r="AX135" s="78">
        <f>IFERROR(INDEX('I2018'!L$5:L$107,MATCH($C135,'I2018'!$A$5:$A$107,0)),"")</f>
        <v>394964.3</v>
      </c>
      <c r="AY135" s="78">
        <f>IFERROR(INDEX('I2018'!M$5:M$107,MATCH($C135,'I2018'!$A$5:$A$107,0)),"")</f>
        <v>410806.15</v>
      </c>
      <c r="AZ135" s="78">
        <f>IFERROR(INDEX('I2019'!B$5:B$112,MATCH($C135,'I2019'!$A$5:$A$112,0)),"")</f>
        <v>367489.34</v>
      </c>
      <c r="BA135" s="78">
        <f>IFERROR(INDEX('I2019'!C$5:C$112,MATCH($C135,'I2019'!$A$5:$A$112,0)),"")</f>
        <v>407600.69999999995</v>
      </c>
      <c r="BB135" s="78">
        <f>IFERROR(INDEX('I2019'!D$5:D$112,MATCH($C135,'I2019'!$A$5:$A$112,0)),"")</f>
        <v>380668.19999999995</v>
      </c>
      <c r="BC135" s="78">
        <f>IFERROR(INDEX('I2019'!E$5:E$112,MATCH($C135,'I2019'!$A$5:$A$112,0)),"")</f>
        <v>416708.35000000003</v>
      </c>
      <c r="BD135" s="78">
        <f>IFERROR(INDEX('I2019'!F$5:F$112,MATCH($C135,'I2019'!$A$5:$A$112,0)),"")</f>
        <v>504418.95</v>
      </c>
      <c r="BE135" s="78">
        <f>IFERROR(INDEX('I2019'!G$5:G$112,MATCH($C135,'I2019'!$A$5:$A$112,0)),"")</f>
        <v>400562.56</v>
      </c>
      <c r="BF135" s="78">
        <f>IFERROR(INDEX('I2019'!H$5:H$112,MATCH($C135,'I2019'!$A$5:$A$112,0)),"")</f>
        <v>435304.06999999995</v>
      </c>
      <c r="BG135" s="78">
        <f>IFERROR(INDEX('I2019'!I$5:I$112,MATCH($C135,'I2019'!$A$5:$A$112,0)),"")</f>
        <v>434007.23000000004</v>
      </c>
      <c r="BH135" s="78">
        <f>IFERROR(INDEX('I2019'!J$5:J$112,MATCH($C135,'I2019'!$A$5:$A$112,0)),"")</f>
        <v>406280.65</v>
      </c>
      <c r="BI135" s="78">
        <f>IFERROR(INDEX('I2019'!K$5:K$112,MATCH($C135,'I2019'!$A$5:$A$112,0)),"")</f>
        <v>554024.72</v>
      </c>
      <c r="BJ135" s="78">
        <f>IFERROR(INDEX('I2019'!L$5:L$112,MATCH($C135,'I2019'!$A$5:$A$112,0)),"")</f>
        <v>384549.93000000005</v>
      </c>
      <c r="BK135" s="78">
        <f>IFERROR(INDEX('I2019'!M$5:M$112,MATCH($C135,'I2019'!$A$5:$A$112,0)),"")</f>
        <v>367241.82</v>
      </c>
      <c r="BL135" s="78">
        <f>IFERROR(INDEX('I2020'!B$5:B$113,MATCH($C135,'I2020'!$A$5:$A$113,0)),"")</f>
        <v>330022.37999999995</v>
      </c>
      <c r="BM135" s="78">
        <f>IFERROR(INDEX('I2020'!C$5:C$113,MATCH($C135,'I2020'!$A$5:$A$113,0)),"")</f>
        <v>346391.2</v>
      </c>
      <c r="BN135" s="78">
        <f>IFERROR(INDEX('I2020'!D$5:D$113,MATCH($C135,'I2020'!$A$5:$A$113,0)),"")</f>
        <v>362370.44999999995</v>
      </c>
      <c r="BO135" s="78">
        <f>IFERROR(INDEX('I2020'!E$5:E$113,MATCH($C135,'I2020'!$A$5:$A$113,0)),"")</f>
        <v>562058.69999999995</v>
      </c>
      <c r="BP135" s="78">
        <f>IFERROR(INDEX('I2020'!F$5:F$113,MATCH($C135,'I2020'!$A$5:$A$113,0)),"")</f>
        <v>375502.44999999995</v>
      </c>
      <c r="BQ135" s="398">
        <f>IFERROR(INDEX('I2020'!G$5:G$113,MATCH($C135,'I2020'!$A$5:$A$113,0)),"")</f>
        <v>428196.04</v>
      </c>
      <c r="BR135" s="153">
        <f t="shared" ref="BQ135:CI135" si="103">BR134+SUM(BR119:BR121)</f>
        <v>524823.04994584259</v>
      </c>
      <c r="BS135" s="153">
        <f t="shared" si="103"/>
        <v>532191.766156798</v>
      </c>
      <c r="BT135" s="153">
        <f t="shared" si="103"/>
        <v>544826.73869756993</v>
      </c>
      <c r="BU135" s="153">
        <f t="shared" si="103"/>
        <v>562079.11627651518</v>
      </c>
      <c r="BV135" s="153">
        <f t="shared" si="103"/>
        <v>583454.0818587793</v>
      </c>
      <c r="BW135" s="153">
        <f t="shared" si="103"/>
        <v>608581.50165484427</v>
      </c>
      <c r="BX135" s="153">
        <f t="shared" si="103"/>
        <v>630810.71103421377</v>
      </c>
      <c r="BY135" s="153">
        <f t="shared" si="103"/>
        <v>650753.26118336432</v>
      </c>
      <c r="BZ135" s="153">
        <f t="shared" si="103"/>
        <v>668898.87168802472</v>
      </c>
      <c r="CA135" s="153">
        <f t="shared" si="103"/>
        <v>685639.8040328729</v>
      </c>
      <c r="CB135" s="153">
        <f t="shared" si="103"/>
        <v>701290.36050898838</v>
      </c>
      <c r="CC135" s="153">
        <f t="shared" si="103"/>
        <v>716102.48344912089</v>
      </c>
      <c r="CD135" s="153">
        <f t="shared" si="103"/>
        <v>730278.234726856</v>
      </c>
      <c r="CE135" s="153">
        <f t="shared" si="103"/>
        <v>743979.77946855733</v>
      </c>
      <c r="CF135" s="153">
        <f t="shared" si="103"/>
        <v>757337.3731372247</v>
      </c>
      <c r="CG135" s="153">
        <f t="shared" si="103"/>
        <v>770455.75131559407</v>
      </c>
      <c r="CH135" s="153">
        <f t="shared" si="103"/>
        <v>783419.24165037682</v>
      </c>
      <c r="CI135" s="154">
        <f t="shared" si="103"/>
        <v>796295.85352717165</v>
      </c>
      <c r="CJ135" s="139"/>
    </row>
    <row r="136" spans="1:88" x14ac:dyDescent="0.3">
      <c r="A136" s="33"/>
      <c r="B136" s="68"/>
      <c r="C136" s="21" t="s">
        <v>153</v>
      </c>
      <c r="D136" s="102">
        <f>IFERROR(INDEX('I2015'!B$5:B$73,MATCH($C136,'I2015'!$A$5:$A$73,0)),"")</f>
        <v>18</v>
      </c>
      <c r="E136" s="102">
        <f>IFERROR(INDEX('I2015'!C$5:C$73,MATCH($C136,'I2015'!$A$5:$A$73,0)),"")</f>
        <v>50.65</v>
      </c>
      <c r="F136" s="102">
        <f>IFERROR(INDEX('I2015'!D$5:D$73,MATCH($C136,'I2015'!$A$5:$A$73,0)),"")</f>
        <v>8</v>
      </c>
      <c r="G136" s="102">
        <f>IFERROR(INDEX('I2015'!E$5:E$73,MATCH($C136,'I2015'!$A$5:$A$73,0)),"")</f>
        <v>75.02</v>
      </c>
      <c r="H136" s="102">
        <f>IFERROR(INDEX('I2015'!F$5:F$73,MATCH($C136,'I2015'!$A$5:$A$73,0)),"")</f>
        <v>35.81</v>
      </c>
      <c r="I136" s="102">
        <f>IFERROR(INDEX('I2015'!G$5:G$73,MATCH($C136,'I2015'!$A$5:$A$73,0)),"")</f>
        <v>65.7</v>
      </c>
      <c r="J136" s="102">
        <f>IFERROR(INDEX('I2015'!H$5:H$73,MATCH($C136,'I2015'!$A$5:$A$73,0)),"")</f>
        <v>119.2</v>
      </c>
      <c r="K136" s="102">
        <f>IFERROR(INDEX('I2015'!I$5:I$73,MATCH($C136,'I2015'!$A$5:$A$73,0)),"")</f>
        <v>134.62</v>
      </c>
      <c r="L136" s="102">
        <f>IFERROR(INDEX('I2015'!J$5:J$73,MATCH($C136,'I2015'!$A$5:$A$73,0)),"")</f>
        <v>30.22</v>
      </c>
      <c r="M136" s="102">
        <f>IFERROR(INDEX('I2015'!K$5:K$73,MATCH($C136,'I2015'!$A$5:$A$73,0)),"")</f>
        <v>82.11</v>
      </c>
      <c r="N136" s="102">
        <f>IFERROR(INDEX('I2015'!L$5:L$73,MATCH($C136,'I2015'!$A$5:$A$73,0)),"")</f>
        <v>0</v>
      </c>
      <c r="O136" s="102">
        <f>IFERROR(INDEX('I2015'!M$5:M$73,MATCH($C136,'I2015'!$A$5:$A$73,0)),"")</f>
        <v>657.81</v>
      </c>
      <c r="P136" s="102">
        <f>IFERROR(INDEX('I2016'!B$5:B$90,MATCH($C136,'I2016'!$A$5:$A$90,0)),"")</f>
        <v>0</v>
      </c>
      <c r="Q136" s="102">
        <f>IFERROR(INDEX('I2016'!C$5:C$90,MATCH($C136,'I2016'!$A$5:$A$90,0)),"")</f>
        <v>0</v>
      </c>
      <c r="R136" s="102">
        <f>IFERROR(INDEX('I2016'!D$5:D$90,MATCH($C136,'I2016'!$A$5:$A$90,0)),"")</f>
        <v>0</v>
      </c>
      <c r="S136" s="102">
        <f>IFERROR(INDEX('I2016'!E$5:E$90,MATCH($C136,'I2016'!$A$5:$A$90,0)),"")</f>
        <v>0</v>
      </c>
      <c r="T136" s="102">
        <f>IFERROR(INDEX('I2016'!F$5:F$90,MATCH($C136,'I2016'!$A$5:$A$90,0)),"")</f>
        <v>0</v>
      </c>
      <c r="U136" s="102">
        <f>IFERROR(INDEX('I2016'!G$5:G$90,MATCH($C136,'I2016'!$A$5:$A$90,0)),"")</f>
        <v>0</v>
      </c>
      <c r="V136" s="102">
        <f>IFERROR(INDEX('I2016'!H$5:H$90,MATCH($C136,'I2016'!$A$5:$A$90,0)),"")</f>
        <v>0</v>
      </c>
      <c r="W136" s="102">
        <f>IFERROR(INDEX('I2016'!I$5:I$90,MATCH($C136,'I2016'!$A$5:$A$90,0)),"")</f>
        <v>0</v>
      </c>
      <c r="X136" s="102">
        <f>IFERROR(INDEX('I2016'!J$5:J$90,MATCH($C136,'I2016'!$A$5:$A$90,0)),"")</f>
        <v>0</v>
      </c>
      <c r="Y136" s="102">
        <f>IFERROR(INDEX('I2016'!K$5:K$90,MATCH($C136,'I2016'!$A$5:$A$90,0)),"")</f>
        <v>0</v>
      </c>
      <c r="Z136" s="102">
        <f>IFERROR(INDEX('I2016'!L$5:L$90,MATCH($C136,'I2016'!$A$5:$A$90,0)),"")</f>
        <v>0</v>
      </c>
      <c r="AA136" s="102">
        <f>IFERROR(INDEX('I2016'!M$5:M$90,MATCH($C136,'I2016'!$A$5:$A$90,0)),"")</f>
        <v>0</v>
      </c>
      <c r="AB136" s="102" t="str">
        <f>IFERROR(INDEX('I2017'!B$5:B$96,MATCH($C136,'I2017'!$A$5:$A$96,0)),"")</f>
        <v/>
      </c>
      <c r="AC136" s="102" t="str">
        <f>IFERROR(INDEX('I2017'!C$5:C$96,MATCH($C136,'I2017'!$A$5:$A$96,0)),"")</f>
        <v/>
      </c>
      <c r="AD136" s="102" t="str">
        <f>IFERROR(INDEX('I2017'!D$5:D$96,MATCH($C136,'I2017'!$A$5:$A$96,0)),"")</f>
        <v/>
      </c>
      <c r="AE136" s="102" t="str">
        <f>IFERROR(INDEX('I2017'!E$5:E$96,MATCH($C136,'I2017'!$A$5:$A$96,0)),"")</f>
        <v/>
      </c>
      <c r="AF136" s="102" t="str">
        <f>IFERROR(INDEX('I2017'!F$5:F$96,MATCH($C136,'I2017'!$A$5:$A$96,0)),"")</f>
        <v/>
      </c>
      <c r="AG136" s="102" t="str">
        <f>IFERROR(INDEX('I2017'!G$5:G$96,MATCH($C136,'I2017'!$A$5:$A$96,0)),"")</f>
        <v/>
      </c>
      <c r="AH136" s="102" t="str">
        <f>IFERROR(INDEX('I2017'!H$5:H$96,MATCH($C136,'I2017'!$A$5:$A$96,0)),"")</f>
        <v/>
      </c>
      <c r="AI136" s="102" t="str">
        <f>IFERROR(INDEX('I2017'!I$5:I$96,MATCH($C136,'I2017'!$A$5:$A$96,0)),"")</f>
        <v/>
      </c>
      <c r="AJ136" s="102" t="str">
        <f>IFERROR(INDEX('I2017'!J$5:J$96,MATCH($C136,'I2017'!$A$5:$A$96,0)),"")</f>
        <v/>
      </c>
      <c r="AK136" s="102" t="str">
        <f>IFERROR(INDEX('I2017'!K$5:K$96,MATCH($C136,'I2017'!$A$5:$A$96,0)),"")</f>
        <v/>
      </c>
      <c r="AL136" s="102" t="str">
        <f>IFERROR(INDEX('I2017'!L$5:L$96,MATCH($C136,'I2017'!$A$5:$A$96,0)),"")</f>
        <v/>
      </c>
      <c r="AM136" s="102" t="str">
        <f>IFERROR(INDEX('I2017'!M$5:M$96,MATCH($C136,'I2017'!$A$5:$A$96,0)),"")</f>
        <v/>
      </c>
      <c r="AN136" s="102" t="str">
        <f>IFERROR(INDEX('I2018'!B$5:B$107,MATCH($C136,'I2018'!$A$5:$A$107,0)),"")</f>
        <v/>
      </c>
      <c r="AO136" s="102" t="str">
        <f>IFERROR(INDEX('I2018'!C$5:C$107,MATCH($C136,'I2018'!$A$5:$A$107,0)),"")</f>
        <v/>
      </c>
      <c r="AP136" s="102" t="str">
        <f>IFERROR(INDEX('I2018'!D$5:D$107,MATCH($C136,'I2018'!$A$5:$A$107,0)),"")</f>
        <v/>
      </c>
      <c r="AQ136" s="102" t="str">
        <f>IFERROR(INDEX('I2018'!E$5:E$107,MATCH($C136,'I2018'!$A$5:$A$107,0)),"")</f>
        <v/>
      </c>
      <c r="AR136" s="102" t="str">
        <f>IFERROR(INDEX('I2018'!F$5:F$107,MATCH($C136,'I2018'!$A$5:$A$107,0)),"")</f>
        <v/>
      </c>
      <c r="AS136" s="102" t="str">
        <f>IFERROR(INDEX('I2018'!G$5:G$107,MATCH($C136,'I2018'!$A$5:$A$107,0)),"")</f>
        <v/>
      </c>
      <c r="AT136" s="102" t="str">
        <f>IFERROR(INDEX('I2018'!H$5:H$107,MATCH($C136,'I2018'!$A$5:$A$107,0)),"")</f>
        <v/>
      </c>
      <c r="AU136" s="102" t="str">
        <f>IFERROR(INDEX('I2018'!I$5:I$107,MATCH($C136,'I2018'!$A$5:$A$107,0)),"")</f>
        <v/>
      </c>
      <c r="AV136" s="102" t="str">
        <f>IFERROR(INDEX('I2018'!J$5:J$107,MATCH($C136,'I2018'!$A$5:$A$107,0)),"")</f>
        <v/>
      </c>
      <c r="AW136" s="102" t="str">
        <f>IFERROR(INDEX('I2018'!K$5:K$107,MATCH($C136,'I2018'!$A$5:$A$107,0)),"")</f>
        <v/>
      </c>
      <c r="AX136" s="102" t="str">
        <f>IFERROR(INDEX('I2018'!L$5:L$107,MATCH($C136,'I2018'!$A$5:$A$107,0)),"")</f>
        <v/>
      </c>
      <c r="AY136" s="102" t="str">
        <f>IFERROR(INDEX('I2018'!M$5:M$107,MATCH($C136,'I2018'!$A$5:$A$107,0)),"")</f>
        <v/>
      </c>
      <c r="AZ136" s="102" t="str">
        <f>IFERROR(INDEX('I2019'!B$5:B$112,MATCH($C136,'I2019'!$A$5:$A$112,0)),"")</f>
        <v/>
      </c>
      <c r="BA136" s="102" t="str">
        <f>IFERROR(INDEX('I2019'!C$5:C$112,MATCH($C136,'I2019'!$A$5:$A$112,0)),"")</f>
        <v/>
      </c>
      <c r="BB136" s="102" t="str">
        <f>IFERROR(INDEX('I2019'!D$5:D$112,MATCH($C136,'I2019'!$A$5:$A$112,0)),"")</f>
        <v/>
      </c>
      <c r="BC136" s="102" t="str">
        <f>IFERROR(INDEX('I2019'!E$5:E$112,MATCH($C136,'I2019'!$A$5:$A$112,0)),"")</f>
        <v/>
      </c>
      <c r="BD136" s="102" t="str">
        <f>IFERROR(INDEX('I2019'!F$5:F$112,MATCH($C136,'I2019'!$A$5:$A$112,0)),"")</f>
        <v/>
      </c>
      <c r="BE136" s="102" t="str">
        <f>IFERROR(INDEX('I2019'!G$5:G$112,MATCH($C136,'I2019'!$A$5:$A$112,0)),"")</f>
        <v/>
      </c>
      <c r="BF136" s="102" t="str">
        <f>IFERROR(INDEX('I2019'!H$5:H$112,MATCH($C136,'I2019'!$A$5:$A$112,0)),"")</f>
        <v/>
      </c>
      <c r="BG136" s="102" t="str">
        <f>IFERROR(INDEX('I2019'!I$5:I$112,MATCH($C136,'I2019'!$A$5:$A$112,0)),"")</f>
        <v/>
      </c>
      <c r="BH136" s="102" t="str">
        <f>IFERROR(INDEX('I2019'!J$5:J$112,MATCH($C136,'I2019'!$A$5:$A$112,0)),"")</f>
        <v/>
      </c>
      <c r="BI136" s="102" t="str">
        <f>IFERROR(INDEX('I2019'!K$5:K$112,MATCH($C136,'I2019'!$A$5:$A$112,0)),"")</f>
        <v/>
      </c>
      <c r="BJ136" s="102" t="str">
        <f>IFERROR(INDEX('I2019'!L$5:L$112,MATCH($C136,'I2019'!$A$5:$A$112,0)),"")</f>
        <v/>
      </c>
      <c r="BK136" s="102" t="str">
        <f>IFERROR(INDEX('I2019'!M$5:M$112,MATCH($C136,'I2019'!$A$5:$A$112,0)),"")</f>
        <v/>
      </c>
      <c r="BL136" s="102" t="str">
        <f>IFERROR(INDEX('I2020'!B$5:B$113,MATCH($C136,'I2020'!$A$5:$A$113,0)),"")</f>
        <v/>
      </c>
      <c r="BM136" s="102" t="str">
        <f>IFERROR(INDEX('I2020'!C$5:C$113,MATCH($C136,'I2020'!$A$5:$A$113,0)),"")</f>
        <v/>
      </c>
      <c r="BN136" s="102" t="str">
        <f>IFERROR(INDEX('I2020'!D$5:D$113,MATCH($C136,'I2020'!$A$5:$A$113,0)),"")</f>
        <v/>
      </c>
      <c r="BO136" s="102" t="str">
        <f>IFERROR(INDEX('I2020'!E$5:E$113,MATCH($C136,'I2020'!$A$5:$A$113,0)),"")</f>
        <v/>
      </c>
      <c r="BP136" s="102" t="str">
        <f>IFERROR(INDEX('I2020'!F$5:F$113,MATCH($C136,'I2020'!$A$5:$A$113,0)),"")</f>
        <v/>
      </c>
      <c r="BQ136" s="392" t="str">
        <f>IFERROR(INDEX('I2020'!G$5:G$113,MATCH($C136,'I2020'!$A$5:$A$113,0)),"")</f>
        <v/>
      </c>
      <c r="BR136" s="64"/>
      <c r="BS136" s="64"/>
      <c r="BT136" s="64"/>
      <c r="BU136" s="64"/>
      <c r="BV136" s="64"/>
      <c r="BW136" s="64"/>
      <c r="BX136" s="64"/>
      <c r="BY136" s="64"/>
      <c r="BZ136" s="64"/>
      <c r="CA136" s="64"/>
      <c r="CB136" s="64"/>
      <c r="CC136" s="64"/>
      <c r="CD136" s="64"/>
      <c r="CE136" s="64"/>
      <c r="CF136" s="64"/>
      <c r="CG136" s="64"/>
      <c r="CH136" s="64"/>
      <c r="CI136" s="124"/>
      <c r="CJ136" s="134"/>
    </row>
    <row r="137" spans="1:88" x14ac:dyDescent="0.3">
      <c r="A137" s="33"/>
      <c r="B137" s="68"/>
      <c r="C137" s="21" t="s">
        <v>154</v>
      </c>
      <c r="D137" s="102" t="str">
        <f>IFERROR(INDEX('I2015'!B$5:B$73,MATCH($C137,'I2015'!$A$5:$A$73,0)),"")</f>
        <v/>
      </c>
      <c r="E137" s="102" t="str">
        <f>IFERROR(INDEX('I2015'!C$5:C$73,MATCH($C137,'I2015'!$A$5:$A$73,0)),"")</f>
        <v/>
      </c>
      <c r="F137" s="102" t="str">
        <f>IFERROR(INDEX('I2015'!D$5:D$73,MATCH($C137,'I2015'!$A$5:$A$73,0)),"")</f>
        <v/>
      </c>
      <c r="G137" s="102" t="str">
        <f>IFERROR(INDEX('I2015'!E$5:E$73,MATCH($C137,'I2015'!$A$5:$A$73,0)),"")</f>
        <v/>
      </c>
      <c r="H137" s="102" t="str">
        <f>IFERROR(INDEX('I2015'!F$5:F$73,MATCH($C137,'I2015'!$A$5:$A$73,0)),"")</f>
        <v/>
      </c>
      <c r="I137" s="102" t="str">
        <f>IFERROR(INDEX('I2015'!G$5:G$73,MATCH($C137,'I2015'!$A$5:$A$73,0)),"")</f>
        <v/>
      </c>
      <c r="J137" s="102" t="str">
        <f>IFERROR(INDEX('I2015'!H$5:H$73,MATCH($C137,'I2015'!$A$5:$A$73,0)),"")</f>
        <v/>
      </c>
      <c r="K137" s="102" t="str">
        <f>IFERROR(INDEX('I2015'!I$5:I$73,MATCH($C137,'I2015'!$A$5:$A$73,0)),"")</f>
        <v/>
      </c>
      <c r="L137" s="102" t="str">
        <f>IFERROR(INDEX('I2015'!J$5:J$73,MATCH($C137,'I2015'!$A$5:$A$73,0)),"")</f>
        <v/>
      </c>
      <c r="M137" s="102" t="str">
        <f>IFERROR(INDEX('I2015'!K$5:K$73,MATCH($C137,'I2015'!$A$5:$A$73,0)),"")</f>
        <v/>
      </c>
      <c r="N137" s="102" t="str">
        <f>IFERROR(INDEX('I2015'!L$5:L$73,MATCH($C137,'I2015'!$A$5:$A$73,0)),"")</f>
        <v/>
      </c>
      <c r="O137" s="102" t="str">
        <f>IFERROR(INDEX('I2015'!M$5:M$73,MATCH($C137,'I2015'!$A$5:$A$73,0)),"")</f>
        <v/>
      </c>
      <c r="P137" s="102">
        <f>IFERROR(INDEX('I2016'!B$5:B$90,MATCH($C137,'I2016'!$A$5:$A$90,0)),"")</f>
        <v>0</v>
      </c>
      <c r="Q137" s="102">
        <f>IFERROR(INDEX('I2016'!C$5:C$90,MATCH($C137,'I2016'!$A$5:$A$90,0)),"")</f>
        <v>0</v>
      </c>
      <c r="R137" s="102">
        <f>IFERROR(INDEX('I2016'!D$5:D$90,MATCH($C137,'I2016'!$A$5:$A$90,0)),"")</f>
        <v>0</v>
      </c>
      <c r="S137" s="102">
        <f>IFERROR(INDEX('I2016'!E$5:E$90,MATCH($C137,'I2016'!$A$5:$A$90,0)),"")</f>
        <v>11681.87</v>
      </c>
      <c r="T137" s="102">
        <f>IFERROR(INDEX('I2016'!F$5:F$90,MATCH($C137,'I2016'!$A$5:$A$90,0)),"")</f>
        <v>10184.52</v>
      </c>
      <c r="U137" s="102">
        <f>IFERROR(INDEX('I2016'!G$5:G$90,MATCH($C137,'I2016'!$A$5:$A$90,0)),"")</f>
        <v>10883.66</v>
      </c>
      <c r="V137" s="102">
        <f>IFERROR(INDEX('I2016'!H$5:H$90,MATCH($C137,'I2016'!$A$5:$A$90,0)),"")</f>
        <v>11303.14</v>
      </c>
      <c r="W137" s="102">
        <f>IFERROR(INDEX('I2016'!I$5:I$90,MATCH($C137,'I2016'!$A$5:$A$90,0)),"")</f>
        <v>14240.96</v>
      </c>
      <c r="X137" s="102">
        <f>IFERROR(INDEX('I2016'!J$5:J$90,MATCH($C137,'I2016'!$A$5:$A$90,0)),"")</f>
        <v>16985.68</v>
      </c>
      <c r="Y137" s="102">
        <f>IFERROR(INDEX('I2016'!K$5:K$90,MATCH($C137,'I2016'!$A$5:$A$90,0)),"")</f>
        <v>14672.5</v>
      </c>
      <c r="Z137" s="102">
        <f>IFERROR(INDEX('I2016'!L$5:L$90,MATCH($C137,'I2016'!$A$5:$A$90,0)),"")</f>
        <v>16727.259999999998</v>
      </c>
      <c r="AA137" s="102">
        <f>IFERROR(INDEX('I2016'!M$5:M$90,MATCH($C137,'I2016'!$A$5:$A$90,0)),"")</f>
        <v>14421.95</v>
      </c>
      <c r="AB137" s="102" t="str">
        <f>IFERROR(INDEX('I2017'!B$5:B$96,MATCH($C137,'I2017'!$A$5:$A$96,0)),"")</f>
        <v/>
      </c>
      <c r="AC137" s="102" t="str">
        <f>IFERROR(INDEX('I2017'!C$5:C$96,MATCH($C137,'I2017'!$A$5:$A$96,0)),"")</f>
        <v/>
      </c>
      <c r="AD137" s="102" t="str">
        <f>IFERROR(INDEX('I2017'!D$5:D$96,MATCH($C137,'I2017'!$A$5:$A$96,0)),"")</f>
        <v/>
      </c>
      <c r="AE137" s="102" t="str">
        <f>IFERROR(INDEX('I2017'!E$5:E$96,MATCH($C137,'I2017'!$A$5:$A$96,0)),"")</f>
        <v/>
      </c>
      <c r="AF137" s="102" t="str">
        <f>IFERROR(INDEX('I2017'!F$5:F$96,MATCH($C137,'I2017'!$A$5:$A$96,0)),"")</f>
        <v/>
      </c>
      <c r="AG137" s="102" t="str">
        <f>IFERROR(INDEX('I2017'!G$5:G$96,MATCH($C137,'I2017'!$A$5:$A$96,0)),"")</f>
        <v/>
      </c>
      <c r="AH137" s="102" t="str">
        <f>IFERROR(INDEX('I2017'!H$5:H$96,MATCH($C137,'I2017'!$A$5:$A$96,0)),"")</f>
        <v/>
      </c>
      <c r="AI137" s="102" t="str">
        <f>IFERROR(INDEX('I2017'!I$5:I$96,MATCH($C137,'I2017'!$A$5:$A$96,0)),"")</f>
        <v/>
      </c>
      <c r="AJ137" s="102" t="str">
        <f>IFERROR(INDEX('I2017'!J$5:J$96,MATCH($C137,'I2017'!$A$5:$A$96,0)),"")</f>
        <v/>
      </c>
      <c r="AK137" s="102" t="str">
        <f>IFERROR(INDEX('I2017'!K$5:K$96,MATCH($C137,'I2017'!$A$5:$A$96,0)),"")</f>
        <v/>
      </c>
      <c r="AL137" s="102" t="str">
        <f>IFERROR(INDEX('I2017'!L$5:L$96,MATCH($C137,'I2017'!$A$5:$A$96,0)),"")</f>
        <v/>
      </c>
      <c r="AM137" s="102" t="str">
        <f>IFERROR(INDEX('I2017'!M$5:M$96,MATCH($C137,'I2017'!$A$5:$A$96,0)),"")</f>
        <v/>
      </c>
      <c r="AN137" s="102" t="str">
        <f>IFERROR(INDEX('I2018'!B$5:B$107,MATCH($C137,'I2018'!$A$5:$A$107,0)),"")</f>
        <v/>
      </c>
      <c r="AO137" s="102" t="str">
        <f>IFERROR(INDEX('I2018'!C$5:C$107,MATCH($C137,'I2018'!$A$5:$A$107,0)),"")</f>
        <v/>
      </c>
      <c r="AP137" s="102" t="str">
        <f>IFERROR(INDEX('I2018'!D$5:D$107,MATCH($C137,'I2018'!$A$5:$A$107,0)),"")</f>
        <v/>
      </c>
      <c r="AQ137" s="102" t="str">
        <f>IFERROR(INDEX('I2018'!E$5:E$107,MATCH($C137,'I2018'!$A$5:$A$107,0)),"")</f>
        <v/>
      </c>
      <c r="AR137" s="102" t="str">
        <f>IFERROR(INDEX('I2018'!F$5:F$107,MATCH($C137,'I2018'!$A$5:$A$107,0)),"")</f>
        <v/>
      </c>
      <c r="AS137" s="102" t="str">
        <f>IFERROR(INDEX('I2018'!G$5:G$107,MATCH($C137,'I2018'!$A$5:$A$107,0)),"")</f>
        <v/>
      </c>
      <c r="AT137" s="102" t="str">
        <f>IFERROR(INDEX('I2018'!H$5:H$107,MATCH($C137,'I2018'!$A$5:$A$107,0)),"")</f>
        <v/>
      </c>
      <c r="AU137" s="102" t="str">
        <f>IFERROR(INDEX('I2018'!I$5:I$107,MATCH($C137,'I2018'!$A$5:$A$107,0)),"")</f>
        <v/>
      </c>
      <c r="AV137" s="102" t="str">
        <f>IFERROR(INDEX('I2018'!J$5:J$107,MATCH($C137,'I2018'!$A$5:$A$107,0)),"")</f>
        <v/>
      </c>
      <c r="AW137" s="102" t="str">
        <f>IFERROR(INDEX('I2018'!K$5:K$107,MATCH($C137,'I2018'!$A$5:$A$107,0)),"")</f>
        <v/>
      </c>
      <c r="AX137" s="102" t="str">
        <f>IFERROR(INDEX('I2018'!L$5:L$107,MATCH($C137,'I2018'!$A$5:$A$107,0)),"")</f>
        <v/>
      </c>
      <c r="AY137" s="102" t="str">
        <f>IFERROR(INDEX('I2018'!M$5:M$107,MATCH($C137,'I2018'!$A$5:$A$107,0)),"")</f>
        <v/>
      </c>
      <c r="AZ137" s="102" t="str">
        <f>IFERROR(INDEX('I2019'!B$5:B$112,MATCH($C137,'I2019'!$A$5:$A$112,0)),"")</f>
        <v/>
      </c>
      <c r="BA137" s="102" t="str">
        <f>IFERROR(INDEX('I2019'!C$5:C$112,MATCH($C137,'I2019'!$A$5:$A$112,0)),"")</f>
        <v/>
      </c>
      <c r="BB137" s="102" t="str">
        <f>IFERROR(INDEX('I2019'!D$5:D$112,MATCH($C137,'I2019'!$A$5:$A$112,0)),"")</f>
        <v/>
      </c>
      <c r="BC137" s="102" t="str">
        <f>IFERROR(INDEX('I2019'!E$5:E$112,MATCH($C137,'I2019'!$A$5:$A$112,0)),"")</f>
        <v/>
      </c>
      <c r="BD137" s="102" t="str">
        <f>IFERROR(INDEX('I2019'!F$5:F$112,MATCH($C137,'I2019'!$A$5:$A$112,0)),"")</f>
        <v/>
      </c>
      <c r="BE137" s="102" t="str">
        <f>IFERROR(INDEX('I2019'!G$5:G$112,MATCH($C137,'I2019'!$A$5:$A$112,0)),"")</f>
        <v/>
      </c>
      <c r="BF137" s="102" t="str">
        <f>IFERROR(INDEX('I2019'!H$5:H$112,MATCH($C137,'I2019'!$A$5:$A$112,0)),"")</f>
        <v/>
      </c>
      <c r="BG137" s="102" t="str">
        <f>IFERROR(INDEX('I2019'!I$5:I$112,MATCH($C137,'I2019'!$A$5:$A$112,0)),"")</f>
        <v/>
      </c>
      <c r="BH137" s="102" t="str">
        <f>IFERROR(INDEX('I2019'!J$5:J$112,MATCH($C137,'I2019'!$A$5:$A$112,0)),"")</f>
        <v/>
      </c>
      <c r="BI137" s="102" t="str">
        <f>IFERROR(INDEX('I2019'!K$5:K$112,MATCH($C137,'I2019'!$A$5:$A$112,0)),"")</f>
        <v/>
      </c>
      <c r="BJ137" s="102" t="str">
        <f>IFERROR(INDEX('I2019'!L$5:L$112,MATCH($C137,'I2019'!$A$5:$A$112,0)),"")</f>
        <v/>
      </c>
      <c r="BK137" s="102" t="str">
        <f>IFERROR(INDEX('I2019'!M$5:M$112,MATCH($C137,'I2019'!$A$5:$A$112,0)),"")</f>
        <v/>
      </c>
      <c r="BL137" s="102" t="str">
        <f>IFERROR(INDEX('I2020'!B$5:B$113,MATCH($C137,'I2020'!$A$5:$A$113,0)),"")</f>
        <v/>
      </c>
      <c r="BM137" s="102" t="str">
        <f>IFERROR(INDEX('I2020'!C$5:C$113,MATCH($C137,'I2020'!$A$5:$A$113,0)),"")</f>
        <v/>
      </c>
      <c r="BN137" s="102" t="str">
        <f>IFERROR(INDEX('I2020'!D$5:D$113,MATCH($C137,'I2020'!$A$5:$A$113,0)),"")</f>
        <v/>
      </c>
      <c r="BO137" s="102" t="str">
        <f>IFERROR(INDEX('I2020'!E$5:E$113,MATCH($C137,'I2020'!$A$5:$A$113,0)),"")</f>
        <v/>
      </c>
      <c r="BP137" s="102" t="str">
        <f>IFERROR(INDEX('I2020'!F$5:F$113,MATCH($C137,'I2020'!$A$5:$A$113,0)),"")</f>
        <v/>
      </c>
      <c r="BQ137" s="392" t="str">
        <f>IFERROR(INDEX('I2020'!G$5:G$113,MATCH($C137,'I2020'!$A$5:$A$113,0)),"")</f>
        <v/>
      </c>
      <c r="BR137" s="64"/>
      <c r="BS137" s="64"/>
      <c r="BT137" s="64"/>
      <c r="BU137" s="64"/>
      <c r="BV137" s="64"/>
      <c r="BW137" s="64"/>
      <c r="BX137" s="64"/>
      <c r="BY137" s="64"/>
      <c r="BZ137" s="64"/>
      <c r="CA137" s="64"/>
      <c r="CB137" s="64"/>
      <c r="CC137" s="64"/>
      <c r="CD137" s="64"/>
      <c r="CE137" s="64"/>
      <c r="CF137" s="64"/>
      <c r="CG137" s="64"/>
      <c r="CH137" s="64"/>
      <c r="CI137" s="124"/>
      <c r="CJ137" s="134"/>
    </row>
    <row r="138" spans="1:88" x14ac:dyDescent="0.3">
      <c r="A138" s="33"/>
      <c r="B138" s="68"/>
      <c r="C138" s="21" t="s">
        <v>155</v>
      </c>
      <c r="D138" s="102">
        <f>IFERROR(INDEX('I2015'!B$5:B$73,MATCH($C138,'I2015'!$A$5:$A$73,0)),"")</f>
        <v>5300</v>
      </c>
      <c r="E138" s="102">
        <f>IFERROR(INDEX('I2015'!C$5:C$73,MATCH($C138,'I2015'!$A$5:$A$73,0)),"")</f>
        <v>6200</v>
      </c>
      <c r="F138" s="102">
        <f>IFERROR(INDEX('I2015'!D$5:D$73,MATCH($C138,'I2015'!$A$5:$A$73,0)),"")</f>
        <v>8000</v>
      </c>
      <c r="G138" s="102">
        <f>IFERROR(INDEX('I2015'!E$5:E$73,MATCH($C138,'I2015'!$A$5:$A$73,0)),"")</f>
        <v>9100</v>
      </c>
      <c r="H138" s="102">
        <f>IFERROR(INDEX('I2015'!F$5:F$73,MATCH($C138,'I2015'!$A$5:$A$73,0)),"")</f>
        <v>8000</v>
      </c>
      <c r="I138" s="102">
        <f>IFERROR(INDEX('I2015'!G$5:G$73,MATCH($C138,'I2015'!$A$5:$A$73,0)),"")</f>
        <v>9950</v>
      </c>
      <c r="J138" s="102">
        <f>IFERROR(INDEX('I2015'!H$5:H$73,MATCH($C138,'I2015'!$A$5:$A$73,0)),"")</f>
        <v>17300</v>
      </c>
      <c r="K138" s="102">
        <f>IFERROR(INDEX('I2015'!I$5:I$73,MATCH($C138,'I2015'!$A$5:$A$73,0)),"")</f>
        <v>14000</v>
      </c>
      <c r="L138" s="102">
        <f>IFERROR(INDEX('I2015'!J$5:J$73,MATCH($C138,'I2015'!$A$5:$A$73,0)),"")</f>
        <v>16000</v>
      </c>
      <c r="M138" s="102">
        <f>IFERROR(INDEX('I2015'!K$5:K$73,MATCH($C138,'I2015'!$A$5:$A$73,0)),"")</f>
        <v>17000</v>
      </c>
      <c r="N138" s="102">
        <f>IFERROR(INDEX('I2015'!L$5:L$73,MATCH($C138,'I2015'!$A$5:$A$73,0)),"")</f>
        <v>16500</v>
      </c>
      <c r="O138" s="102">
        <f>IFERROR(INDEX('I2015'!M$5:M$73,MATCH($C138,'I2015'!$A$5:$A$73,0)),"")</f>
        <v>20500</v>
      </c>
      <c r="P138" s="102">
        <f>IFERROR(INDEX('I2016'!B$5:B$90,MATCH($C138,'I2016'!$A$5:$A$90,0)),"")</f>
        <v>24600</v>
      </c>
      <c r="Q138" s="102">
        <f>IFERROR(INDEX('I2016'!C$5:C$90,MATCH($C138,'I2016'!$A$5:$A$90,0)),"")</f>
        <v>29000</v>
      </c>
      <c r="R138" s="102">
        <f>IFERROR(INDEX('I2016'!D$5:D$90,MATCH($C138,'I2016'!$A$5:$A$90,0)),"")</f>
        <v>12500</v>
      </c>
      <c r="S138" s="102">
        <f>IFERROR(INDEX('I2016'!E$5:E$90,MATCH($C138,'I2016'!$A$5:$A$90,0)),"")</f>
        <v>0</v>
      </c>
      <c r="T138" s="102">
        <f>IFERROR(INDEX('I2016'!F$5:F$90,MATCH($C138,'I2016'!$A$5:$A$90,0)),"")</f>
        <v>0</v>
      </c>
      <c r="U138" s="102">
        <f>IFERROR(INDEX('I2016'!G$5:G$90,MATCH($C138,'I2016'!$A$5:$A$90,0)),"")</f>
        <v>0</v>
      </c>
      <c r="V138" s="102">
        <f>IFERROR(INDEX('I2016'!H$5:H$90,MATCH($C138,'I2016'!$A$5:$A$90,0)),"")</f>
        <v>0</v>
      </c>
      <c r="W138" s="102">
        <f>IFERROR(INDEX('I2016'!I$5:I$90,MATCH($C138,'I2016'!$A$5:$A$90,0)),"")</f>
        <v>0</v>
      </c>
      <c r="X138" s="102">
        <f>IFERROR(INDEX('I2016'!J$5:J$90,MATCH($C138,'I2016'!$A$5:$A$90,0)),"")</f>
        <v>0</v>
      </c>
      <c r="Y138" s="102">
        <f>IFERROR(INDEX('I2016'!K$5:K$90,MATCH($C138,'I2016'!$A$5:$A$90,0)),"")</f>
        <v>0</v>
      </c>
      <c r="Z138" s="102">
        <f>IFERROR(INDEX('I2016'!L$5:L$90,MATCH($C138,'I2016'!$A$5:$A$90,0)),"")</f>
        <v>0</v>
      </c>
      <c r="AA138" s="102">
        <f>IFERROR(INDEX('I2016'!M$5:M$90,MATCH($C138,'I2016'!$A$5:$A$90,0)),"")</f>
        <v>0</v>
      </c>
      <c r="AB138" s="102" t="str">
        <f>IFERROR(INDEX('I2017'!B$5:B$96,MATCH($C138,'I2017'!$A$5:$A$96,0)),"")</f>
        <v/>
      </c>
      <c r="AC138" s="102" t="str">
        <f>IFERROR(INDEX('I2017'!C$5:C$96,MATCH($C138,'I2017'!$A$5:$A$96,0)),"")</f>
        <v/>
      </c>
      <c r="AD138" s="102" t="str">
        <f>IFERROR(INDEX('I2017'!D$5:D$96,MATCH($C138,'I2017'!$A$5:$A$96,0)),"")</f>
        <v/>
      </c>
      <c r="AE138" s="102" t="str">
        <f>IFERROR(INDEX('I2017'!E$5:E$96,MATCH($C138,'I2017'!$A$5:$A$96,0)),"")</f>
        <v/>
      </c>
      <c r="AF138" s="102" t="str">
        <f>IFERROR(INDEX('I2017'!F$5:F$96,MATCH($C138,'I2017'!$A$5:$A$96,0)),"")</f>
        <v/>
      </c>
      <c r="AG138" s="102" t="str">
        <f>IFERROR(INDEX('I2017'!G$5:G$96,MATCH($C138,'I2017'!$A$5:$A$96,0)),"")</f>
        <v/>
      </c>
      <c r="AH138" s="102" t="str">
        <f>IFERROR(INDEX('I2017'!H$5:H$96,MATCH($C138,'I2017'!$A$5:$A$96,0)),"")</f>
        <v/>
      </c>
      <c r="AI138" s="102" t="str">
        <f>IFERROR(INDEX('I2017'!I$5:I$96,MATCH($C138,'I2017'!$A$5:$A$96,0)),"")</f>
        <v/>
      </c>
      <c r="AJ138" s="102" t="str">
        <f>IFERROR(INDEX('I2017'!J$5:J$96,MATCH($C138,'I2017'!$A$5:$A$96,0)),"")</f>
        <v/>
      </c>
      <c r="AK138" s="102" t="str">
        <f>IFERROR(INDEX('I2017'!K$5:K$96,MATCH($C138,'I2017'!$A$5:$A$96,0)),"")</f>
        <v/>
      </c>
      <c r="AL138" s="102" t="str">
        <f>IFERROR(INDEX('I2017'!L$5:L$96,MATCH($C138,'I2017'!$A$5:$A$96,0)),"")</f>
        <v/>
      </c>
      <c r="AM138" s="102" t="str">
        <f>IFERROR(INDEX('I2017'!M$5:M$96,MATCH($C138,'I2017'!$A$5:$A$96,0)),"")</f>
        <v/>
      </c>
      <c r="AN138" s="102" t="str">
        <f>IFERROR(INDEX('I2018'!B$5:B$107,MATCH($C138,'I2018'!$A$5:$A$107,0)),"")</f>
        <v/>
      </c>
      <c r="AO138" s="102" t="str">
        <f>IFERROR(INDEX('I2018'!C$5:C$107,MATCH($C138,'I2018'!$A$5:$A$107,0)),"")</f>
        <v/>
      </c>
      <c r="AP138" s="102" t="str">
        <f>IFERROR(INDEX('I2018'!D$5:D$107,MATCH($C138,'I2018'!$A$5:$A$107,0)),"")</f>
        <v/>
      </c>
      <c r="AQ138" s="102" t="str">
        <f>IFERROR(INDEX('I2018'!E$5:E$107,MATCH($C138,'I2018'!$A$5:$A$107,0)),"")</f>
        <v/>
      </c>
      <c r="AR138" s="102" t="str">
        <f>IFERROR(INDEX('I2018'!F$5:F$107,MATCH($C138,'I2018'!$A$5:$A$107,0)),"")</f>
        <v/>
      </c>
      <c r="AS138" s="102" t="str">
        <f>IFERROR(INDEX('I2018'!G$5:G$107,MATCH($C138,'I2018'!$A$5:$A$107,0)),"")</f>
        <v/>
      </c>
      <c r="AT138" s="102" t="str">
        <f>IFERROR(INDEX('I2018'!H$5:H$107,MATCH($C138,'I2018'!$A$5:$A$107,0)),"")</f>
        <v/>
      </c>
      <c r="AU138" s="102" t="str">
        <f>IFERROR(INDEX('I2018'!I$5:I$107,MATCH($C138,'I2018'!$A$5:$A$107,0)),"")</f>
        <v/>
      </c>
      <c r="AV138" s="102" t="str">
        <f>IFERROR(INDEX('I2018'!J$5:J$107,MATCH($C138,'I2018'!$A$5:$A$107,0)),"")</f>
        <v/>
      </c>
      <c r="AW138" s="102" t="str">
        <f>IFERROR(INDEX('I2018'!K$5:K$107,MATCH($C138,'I2018'!$A$5:$A$107,0)),"")</f>
        <v/>
      </c>
      <c r="AX138" s="102" t="str">
        <f>IFERROR(INDEX('I2018'!L$5:L$107,MATCH($C138,'I2018'!$A$5:$A$107,0)),"")</f>
        <v/>
      </c>
      <c r="AY138" s="102" t="str">
        <f>IFERROR(INDEX('I2018'!M$5:M$107,MATCH($C138,'I2018'!$A$5:$A$107,0)),"")</f>
        <v/>
      </c>
      <c r="AZ138" s="102" t="str">
        <f>IFERROR(INDEX('I2019'!B$5:B$112,MATCH($C138,'I2019'!$A$5:$A$112,0)),"")</f>
        <v/>
      </c>
      <c r="BA138" s="102" t="str">
        <f>IFERROR(INDEX('I2019'!C$5:C$112,MATCH($C138,'I2019'!$A$5:$A$112,0)),"")</f>
        <v/>
      </c>
      <c r="BB138" s="102" t="str">
        <f>IFERROR(INDEX('I2019'!D$5:D$112,MATCH($C138,'I2019'!$A$5:$A$112,0)),"")</f>
        <v/>
      </c>
      <c r="BC138" s="102" t="str">
        <f>IFERROR(INDEX('I2019'!E$5:E$112,MATCH($C138,'I2019'!$A$5:$A$112,0)),"")</f>
        <v/>
      </c>
      <c r="BD138" s="102" t="str">
        <f>IFERROR(INDEX('I2019'!F$5:F$112,MATCH($C138,'I2019'!$A$5:$A$112,0)),"")</f>
        <v/>
      </c>
      <c r="BE138" s="102" t="str">
        <f>IFERROR(INDEX('I2019'!G$5:G$112,MATCH($C138,'I2019'!$A$5:$A$112,0)),"")</f>
        <v/>
      </c>
      <c r="BF138" s="102" t="str">
        <f>IFERROR(INDEX('I2019'!H$5:H$112,MATCH($C138,'I2019'!$A$5:$A$112,0)),"")</f>
        <v/>
      </c>
      <c r="BG138" s="102" t="str">
        <f>IFERROR(INDEX('I2019'!I$5:I$112,MATCH($C138,'I2019'!$A$5:$A$112,0)),"")</f>
        <v/>
      </c>
      <c r="BH138" s="102" t="str">
        <f>IFERROR(INDEX('I2019'!J$5:J$112,MATCH($C138,'I2019'!$A$5:$A$112,0)),"")</f>
        <v/>
      </c>
      <c r="BI138" s="102" t="str">
        <f>IFERROR(INDEX('I2019'!K$5:K$112,MATCH($C138,'I2019'!$A$5:$A$112,0)),"")</f>
        <v/>
      </c>
      <c r="BJ138" s="102" t="str">
        <f>IFERROR(INDEX('I2019'!L$5:L$112,MATCH($C138,'I2019'!$A$5:$A$112,0)),"")</f>
        <v/>
      </c>
      <c r="BK138" s="102" t="str">
        <f>IFERROR(INDEX('I2019'!M$5:M$112,MATCH($C138,'I2019'!$A$5:$A$112,0)),"")</f>
        <v/>
      </c>
      <c r="BL138" s="102" t="str">
        <f>IFERROR(INDEX('I2020'!B$5:B$113,MATCH($C138,'I2020'!$A$5:$A$113,0)),"")</f>
        <v/>
      </c>
      <c r="BM138" s="102" t="str">
        <f>IFERROR(INDEX('I2020'!C$5:C$113,MATCH($C138,'I2020'!$A$5:$A$113,0)),"")</f>
        <v/>
      </c>
      <c r="BN138" s="102" t="str">
        <f>IFERROR(INDEX('I2020'!D$5:D$113,MATCH($C138,'I2020'!$A$5:$A$113,0)),"")</f>
        <v/>
      </c>
      <c r="BO138" s="102" t="str">
        <f>IFERROR(INDEX('I2020'!E$5:E$113,MATCH($C138,'I2020'!$A$5:$A$113,0)),"")</f>
        <v/>
      </c>
      <c r="BP138" s="102" t="str">
        <f>IFERROR(INDEX('I2020'!F$5:F$113,MATCH($C138,'I2020'!$A$5:$A$113,0)),"")</f>
        <v/>
      </c>
      <c r="BQ138" s="392" t="str">
        <f>IFERROR(INDEX('I2020'!G$5:G$113,MATCH($C138,'I2020'!$A$5:$A$113,0)),"")</f>
        <v/>
      </c>
      <c r="BR138" s="64"/>
      <c r="BS138" s="64"/>
      <c r="BT138" s="64"/>
      <c r="BU138" s="64"/>
      <c r="BV138" s="64"/>
      <c r="BW138" s="64"/>
      <c r="BX138" s="64"/>
      <c r="BY138" s="64"/>
      <c r="BZ138" s="64"/>
      <c r="CA138" s="64"/>
      <c r="CB138" s="64"/>
      <c r="CC138" s="64"/>
      <c r="CD138" s="64"/>
      <c r="CE138" s="64"/>
      <c r="CF138" s="64"/>
      <c r="CG138" s="64"/>
      <c r="CH138" s="64"/>
      <c r="CI138" s="124"/>
      <c r="CJ138" s="134"/>
    </row>
    <row r="139" spans="1:88" x14ac:dyDescent="0.3">
      <c r="A139" s="33"/>
      <c r="B139" s="68"/>
      <c r="C139" s="21" t="s">
        <v>156</v>
      </c>
      <c r="D139" s="102" t="str">
        <f>IFERROR(INDEX('I2015'!B$5:B$73,MATCH($C139,'I2015'!$A$5:$A$73,0)),"")</f>
        <v/>
      </c>
      <c r="E139" s="102" t="str">
        <f>IFERROR(INDEX('I2015'!C$5:C$73,MATCH($C139,'I2015'!$A$5:$A$73,0)),"")</f>
        <v/>
      </c>
      <c r="F139" s="102" t="str">
        <f>IFERROR(INDEX('I2015'!D$5:D$73,MATCH($C139,'I2015'!$A$5:$A$73,0)),"")</f>
        <v/>
      </c>
      <c r="G139" s="102" t="str">
        <f>IFERROR(INDEX('I2015'!E$5:E$73,MATCH($C139,'I2015'!$A$5:$A$73,0)),"")</f>
        <v/>
      </c>
      <c r="H139" s="102" t="str">
        <f>IFERROR(INDEX('I2015'!F$5:F$73,MATCH($C139,'I2015'!$A$5:$A$73,0)),"")</f>
        <v/>
      </c>
      <c r="I139" s="102" t="str">
        <f>IFERROR(INDEX('I2015'!G$5:G$73,MATCH($C139,'I2015'!$A$5:$A$73,0)),"")</f>
        <v/>
      </c>
      <c r="J139" s="102" t="str">
        <f>IFERROR(INDEX('I2015'!H$5:H$73,MATCH($C139,'I2015'!$A$5:$A$73,0)),"")</f>
        <v/>
      </c>
      <c r="K139" s="102" t="str">
        <f>IFERROR(INDEX('I2015'!I$5:I$73,MATCH($C139,'I2015'!$A$5:$A$73,0)),"")</f>
        <v/>
      </c>
      <c r="L139" s="102" t="str">
        <f>IFERROR(INDEX('I2015'!J$5:J$73,MATCH($C139,'I2015'!$A$5:$A$73,0)),"")</f>
        <v/>
      </c>
      <c r="M139" s="102" t="str">
        <f>IFERROR(INDEX('I2015'!K$5:K$73,MATCH($C139,'I2015'!$A$5:$A$73,0)),"")</f>
        <v/>
      </c>
      <c r="N139" s="102" t="str">
        <f>IFERROR(INDEX('I2015'!L$5:L$73,MATCH($C139,'I2015'!$A$5:$A$73,0)),"")</f>
        <v/>
      </c>
      <c r="O139" s="102" t="str">
        <f>IFERROR(INDEX('I2015'!M$5:M$73,MATCH($C139,'I2015'!$A$5:$A$73,0)),"")</f>
        <v/>
      </c>
      <c r="P139" s="102">
        <f>IFERROR(INDEX('I2016'!B$5:B$90,MATCH($C139,'I2016'!$A$5:$A$90,0)),"")</f>
        <v>0</v>
      </c>
      <c r="Q139" s="102">
        <f>IFERROR(INDEX('I2016'!C$5:C$90,MATCH($C139,'I2016'!$A$5:$A$90,0)),"")</f>
        <v>0</v>
      </c>
      <c r="R139" s="102">
        <f>IFERROR(INDEX('I2016'!D$5:D$90,MATCH($C139,'I2016'!$A$5:$A$90,0)),"")</f>
        <v>0.25</v>
      </c>
      <c r="S139" s="102">
        <f>IFERROR(INDEX('I2016'!E$5:E$90,MATCH($C139,'I2016'!$A$5:$A$90,0)),"")</f>
        <v>584</v>
      </c>
      <c r="T139" s="102">
        <f>IFERROR(INDEX('I2016'!F$5:F$90,MATCH($C139,'I2016'!$A$5:$A$90,0)),"")</f>
        <v>1282.75</v>
      </c>
      <c r="U139" s="102">
        <f>IFERROR(INDEX('I2016'!G$5:G$90,MATCH($C139,'I2016'!$A$5:$A$90,0)),"")</f>
        <v>782.5</v>
      </c>
      <c r="V139" s="102">
        <f>IFERROR(INDEX('I2016'!H$5:H$90,MATCH($C139,'I2016'!$A$5:$A$90,0)),"")</f>
        <v>1983.55</v>
      </c>
      <c r="W139" s="102">
        <f>IFERROR(INDEX('I2016'!I$5:I$90,MATCH($C139,'I2016'!$A$5:$A$90,0)),"")</f>
        <v>1467.8</v>
      </c>
      <c r="X139" s="102">
        <f>IFERROR(INDEX('I2016'!J$5:J$90,MATCH($C139,'I2016'!$A$5:$A$90,0)),"")</f>
        <v>1642.3</v>
      </c>
      <c r="Y139" s="102">
        <f>IFERROR(INDEX('I2016'!K$5:K$90,MATCH($C139,'I2016'!$A$5:$A$90,0)),"")</f>
        <v>1825.7</v>
      </c>
      <c r="Z139" s="102">
        <f>IFERROR(INDEX('I2016'!L$5:L$90,MATCH($C139,'I2016'!$A$5:$A$90,0)),"")</f>
        <v>1677.1</v>
      </c>
      <c r="AA139" s="102">
        <f>IFERROR(INDEX('I2016'!M$5:M$90,MATCH($C139,'I2016'!$A$5:$A$90,0)),"")</f>
        <v>1859.8</v>
      </c>
      <c r="AB139" s="102" t="str">
        <f>IFERROR(INDEX('I2017'!B$5:B$96,MATCH($C139,'I2017'!$A$5:$A$96,0)),"")</f>
        <v/>
      </c>
      <c r="AC139" s="102" t="str">
        <f>IFERROR(INDEX('I2017'!C$5:C$96,MATCH($C139,'I2017'!$A$5:$A$96,0)),"")</f>
        <v/>
      </c>
      <c r="AD139" s="102" t="str">
        <f>IFERROR(INDEX('I2017'!D$5:D$96,MATCH($C139,'I2017'!$A$5:$A$96,0)),"")</f>
        <v/>
      </c>
      <c r="AE139" s="102" t="str">
        <f>IFERROR(INDEX('I2017'!E$5:E$96,MATCH($C139,'I2017'!$A$5:$A$96,0)),"")</f>
        <v/>
      </c>
      <c r="AF139" s="102" t="str">
        <f>IFERROR(INDEX('I2017'!F$5:F$96,MATCH($C139,'I2017'!$A$5:$A$96,0)),"")</f>
        <v/>
      </c>
      <c r="AG139" s="102" t="str">
        <f>IFERROR(INDEX('I2017'!G$5:G$96,MATCH($C139,'I2017'!$A$5:$A$96,0)),"")</f>
        <v/>
      </c>
      <c r="AH139" s="102" t="str">
        <f>IFERROR(INDEX('I2017'!H$5:H$96,MATCH($C139,'I2017'!$A$5:$A$96,0)),"")</f>
        <v/>
      </c>
      <c r="AI139" s="102" t="str">
        <f>IFERROR(INDEX('I2017'!I$5:I$96,MATCH($C139,'I2017'!$A$5:$A$96,0)),"")</f>
        <v/>
      </c>
      <c r="AJ139" s="102" t="str">
        <f>IFERROR(INDEX('I2017'!J$5:J$96,MATCH($C139,'I2017'!$A$5:$A$96,0)),"")</f>
        <v/>
      </c>
      <c r="AK139" s="102" t="str">
        <f>IFERROR(INDEX('I2017'!K$5:K$96,MATCH($C139,'I2017'!$A$5:$A$96,0)),"")</f>
        <v/>
      </c>
      <c r="AL139" s="102" t="str">
        <f>IFERROR(INDEX('I2017'!L$5:L$96,MATCH($C139,'I2017'!$A$5:$A$96,0)),"")</f>
        <v/>
      </c>
      <c r="AM139" s="102" t="str">
        <f>IFERROR(INDEX('I2017'!M$5:M$96,MATCH($C139,'I2017'!$A$5:$A$96,0)),"")</f>
        <v/>
      </c>
      <c r="AN139" s="102" t="str">
        <f>IFERROR(INDEX('I2018'!B$5:B$107,MATCH($C139,'I2018'!$A$5:$A$107,0)),"")</f>
        <v/>
      </c>
      <c r="AO139" s="102" t="str">
        <f>IFERROR(INDEX('I2018'!C$5:C$107,MATCH($C139,'I2018'!$A$5:$A$107,0)),"")</f>
        <v/>
      </c>
      <c r="AP139" s="102" t="str">
        <f>IFERROR(INDEX('I2018'!D$5:D$107,MATCH($C139,'I2018'!$A$5:$A$107,0)),"")</f>
        <v/>
      </c>
      <c r="AQ139" s="102" t="str">
        <f>IFERROR(INDEX('I2018'!E$5:E$107,MATCH($C139,'I2018'!$A$5:$A$107,0)),"")</f>
        <v/>
      </c>
      <c r="AR139" s="102" t="str">
        <f>IFERROR(INDEX('I2018'!F$5:F$107,MATCH($C139,'I2018'!$A$5:$A$107,0)),"")</f>
        <v/>
      </c>
      <c r="AS139" s="102" t="str">
        <f>IFERROR(INDEX('I2018'!G$5:G$107,MATCH($C139,'I2018'!$A$5:$A$107,0)),"")</f>
        <v/>
      </c>
      <c r="AT139" s="102" t="str">
        <f>IFERROR(INDEX('I2018'!H$5:H$107,MATCH($C139,'I2018'!$A$5:$A$107,0)),"")</f>
        <v/>
      </c>
      <c r="AU139" s="102" t="str">
        <f>IFERROR(INDEX('I2018'!I$5:I$107,MATCH($C139,'I2018'!$A$5:$A$107,0)),"")</f>
        <v/>
      </c>
      <c r="AV139" s="102" t="str">
        <f>IFERROR(INDEX('I2018'!J$5:J$107,MATCH($C139,'I2018'!$A$5:$A$107,0)),"")</f>
        <v/>
      </c>
      <c r="AW139" s="102" t="str">
        <f>IFERROR(INDEX('I2018'!K$5:K$107,MATCH($C139,'I2018'!$A$5:$A$107,0)),"")</f>
        <v/>
      </c>
      <c r="AX139" s="102" t="str">
        <f>IFERROR(INDEX('I2018'!L$5:L$107,MATCH($C139,'I2018'!$A$5:$A$107,0)),"")</f>
        <v/>
      </c>
      <c r="AY139" s="102" t="str">
        <f>IFERROR(INDEX('I2018'!M$5:M$107,MATCH($C139,'I2018'!$A$5:$A$107,0)),"")</f>
        <v/>
      </c>
      <c r="AZ139" s="102" t="str">
        <f>IFERROR(INDEX('I2019'!B$5:B$112,MATCH($C139,'I2019'!$A$5:$A$112,0)),"")</f>
        <v/>
      </c>
      <c r="BA139" s="102" t="str">
        <f>IFERROR(INDEX('I2019'!C$5:C$112,MATCH($C139,'I2019'!$A$5:$A$112,0)),"")</f>
        <v/>
      </c>
      <c r="BB139" s="102" t="str">
        <f>IFERROR(INDEX('I2019'!D$5:D$112,MATCH($C139,'I2019'!$A$5:$A$112,0)),"")</f>
        <v/>
      </c>
      <c r="BC139" s="102" t="str">
        <f>IFERROR(INDEX('I2019'!E$5:E$112,MATCH($C139,'I2019'!$A$5:$A$112,0)),"")</f>
        <v/>
      </c>
      <c r="BD139" s="102" t="str">
        <f>IFERROR(INDEX('I2019'!F$5:F$112,MATCH($C139,'I2019'!$A$5:$A$112,0)),"")</f>
        <v/>
      </c>
      <c r="BE139" s="102" t="str">
        <f>IFERROR(INDEX('I2019'!G$5:G$112,MATCH($C139,'I2019'!$A$5:$A$112,0)),"")</f>
        <v/>
      </c>
      <c r="BF139" s="102" t="str">
        <f>IFERROR(INDEX('I2019'!H$5:H$112,MATCH($C139,'I2019'!$A$5:$A$112,0)),"")</f>
        <v/>
      </c>
      <c r="BG139" s="102" t="str">
        <f>IFERROR(INDEX('I2019'!I$5:I$112,MATCH($C139,'I2019'!$A$5:$A$112,0)),"")</f>
        <v/>
      </c>
      <c r="BH139" s="102" t="str">
        <f>IFERROR(INDEX('I2019'!J$5:J$112,MATCH($C139,'I2019'!$A$5:$A$112,0)),"")</f>
        <v/>
      </c>
      <c r="BI139" s="102" t="str">
        <f>IFERROR(INDEX('I2019'!K$5:K$112,MATCH($C139,'I2019'!$A$5:$A$112,0)),"")</f>
        <v/>
      </c>
      <c r="BJ139" s="102" t="str">
        <f>IFERROR(INDEX('I2019'!L$5:L$112,MATCH($C139,'I2019'!$A$5:$A$112,0)),"")</f>
        <v/>
      </c>
      <c r="BK139" s="102" t="str">
        <f>IFERROR(INDEX('I2019'!M$5:M$112,MATCH($C139,'I2019'!$A$5:$A$112,0)),"")</f>
        <v/>
      </c>
      <c r="BL139" s="102" t="str">
        <f>IFERROR(INDEX('I2020'!B$5:B$113,MATCH($C139,'I2020'!$A$5:$A$113,0)),"")</f>
        <v/>
      </c>
      <c r="BM139" s="102" t="str">
        <f>IFERROR(INDEX('I2020'!C$5:C$113,MATCH($C139,'I2020'!$A$5:$A$113,0)),"")</f>
        <v/>
      </c>
      <c r="BN139" s="102" t="str">
        <f>IFERROR(INDEX('I2020'!D$5:D$113,MATCH($C139,'I2020'!$A$5:$A$113,0)),"")</f>
        <v/>
      </c>
      <c r="BO139" s="102" t="str">
        <f>IFERROR(INDEX('I2020'!E$5:E$113,MATCH($C139,'I2020'!$A$5:$A$113,0)),"")</f>
        <v/>
      </c>
      <c r="BP139" s="102" t="str">
        <f>IFERROR(INDEX('I2020'!F$5:F$113,MATCH($C139,'I2020'!$A$5:$A$113,0)),"")</f>
        <v/>
      </c>
      <c r="BQ139" s="392" t="str">
        <f>IFERROR(INDEX('I2020'!G$5:G$113,MATCH($C139,'I2020'!$A$5:$A$113,0)),"")</f>
        <v/>
      </c>
      <c r="BR139" s="64"/>
      <c r="BS139" s="64"/>
      <c r="BT139" s="64"/>
      <c r="BU139" s="64"/>
      <c r="BV139" s="64"/>
      <c r="BW139" s="64"/>
      <c r="BX139" s="64"/>
      <c r="BY139" s="64"/>
      <c r="BZ139" s="64"/>
      <c r="CA139" s="64"/>
      <c r="CB139" s="64"/>
      <c r="CC139" s="64"/>
      <c r="CD139" s="64"/>
      <c r="CE139" s="64"/>
      <c r="CF139" s="64"/>
      <c r="CG139" s="64"/>
      <c r="CH139" s="64"/>
      <c r="CI139" s="124"/>
      <c r="CJ139" s="134"/>
    </row>
    <row r="140" spans="1:88" x14ac:dyDescent="0.3">
      <c r="A140" s="33"/>
      <c r="B140" s="68"/>
      <c r="C140" s="21" t="s">
        <v>157</v>
      </c>
      <c r="D140" s="102">
        <f>IFERROR(INDEX('I2015'!B$5:B$73,MATCH($C140,'I2015'!$A$5:$A$73,0)),"")</f>
        <v>0</v>
      </c>
      <c r="E140" s="102">
        <f>IFERROR(INDEX('I2015'!C$5:C$73,MATCH($C140,'I2015'!$A$5:$A$73,0)),"")</f>
        <v>17.46</v>
      </c>
      <c r="F140" s="102">
        <f>IFERROR(INDEX('I2015'!D$5:D$73,MATCH($C140,'I2015'!$A$5:$A$73,0)),"")</f>
        <v>0</v>
      </c>
      <c r="G140" s="102">
        <f>IFERROR(INDEX('I2015'!E$5:E$73,MATCH($C140,'I2015'!$A$5:$A$73,0)),"")</f>
        <v>20.11</v>
      </c>
      <c r="H140" s="102">
        <f>IFERROR(INDEX('I2015'!F$5:F$73,MATCH($C140,'I2015'!$A$5:$A$73,0)),"")</f>
        <v>10.43</v>
      </c>
      <c r="I140" s="102">
        <f>IFERROR(INDEX('I2015'!G$5:G$73,MATCH($C140,'I2015'!$A$5:$A$73,0)),"")</f>
        <v>0</v>
      </c>
      <c r="J140" s="102">
        <f>IFERROR(INDEX('I2015'!H$5:H$73,MATCH($C140,'I2015'!$A$5:$A$73,0)),"")</f>
        <v>0</v>
      </c>
      <c r="K140" s="102">
        <f>IFERROR(INDEX('I2015'!I$5:I$73,MATCH($C140,'I2015'!$A$5:$A$73,0)),"")</f>
        <v>72.709999999999994</v>
      </c>
      <c r="L140" s="102">
        <f>IFERROR(INDEX('I2015'!J$5:J$73,MATCH($C140,'I2015'!$A$5:$A$73,0)),"")</f>
        <v>55.5</v>
      </c>
      <c r="M140" s="102">
        <f>IFERROR(INDEX('I2015'!K$5:K$73,MATCH($C140,'I2015'!$A$5:$A$73,0)),"")</f>
        <v>69</v>
      </c>
      <c r="N140" s="102">
        <f>IFERROR(INDEX('I2015'!L$5:L$73,MATCH($C140,'I2015'!$A$5:$A$73,0)),"")</f>
        <v>137</v>
      </c>
      <c r="O140" s="102">
        <f>IFERROR(INDEX('I2015'!M$5:M$73,MATCH($C140,'I2015'!$A$5:$A$73,0)),"")</f>
        <v>221.59</v>
      </c>
      <c r="P140" s="102">
        <f>IFERROR(INDEX('I2016'!B$5:B$90,MATCH($C140,'I2016'!$A$5:$A$90,0)),"")</f>
        <v>122.46</v>
      </c>
      <c r="Q140" s="102">
        <f>IFERROR(INDEX('I2016'!C$5:C$90,MATCH($C140,'I2016'!$A$5:$A$90,0)),"")</f>
        <v>139.61000000000001</v>
      </c>
      <c r="R140" s="102">
        <f>IFERROR(INDEX('I2016'!D$5:D$90,MATCH($C140,'I2016'!$A$5:$A$90,0)),"")</f>
        <v>249.48</v>
      </c>
      <c r="S140" s="102">
        <f>IFERROR(INDEX('I2016'!E$5:E$90,MATCH($C140,'I2016'!$A$5:$A$90,0)),"")</f>
        <v>102.45</v>
      </c>
      <c r="T140" s="102">
        <f>IFERROR(INDEX('I2016'!F$5:F$90,MATCH($C140,'I2016'!$A$5:$A$90,0)),"")</f>
        <v>0</v>
      </c>
      <c r="U140" s="102">
        <f>IFERROR(INDEX('I2016'!G$5:G$90,MATCH($C140,'I2016'!$A$5:$A$90,0)),"")</f>
        <v>0</v>
      </c>
      <c r="V140" s="102">
        <f>IFERROR(INDEX('I2016'!H$5:H$90,MATCH($C140,'I2016'!$A$5:$A$90,0)),"")</f>
        <v>0</v>
      </c>
      <c r="W140" s="102">
        <f>IFERROR(INDEX('I2016'!I$5:I$90,MATCH($C140,'I2016'!$A$5:$A$90,0)),"")</f>
        <v>0</v>
      </c>
      <c r="X140" s="102">
        <f>IFERROR(INDEX('I2016'!J$5:J$90,MATCH($C140,'I2016'!$A$5:$A$90,0)),"")</f>
        <v>0</v>
      </c>
      <c r="Y140" s="102">
        <f>IFERROR(INDEX('I2016'!K$5:K$90,MATCH($C140,'I2016'!$A$5:$A$90,0)),"")</f>
        <v>0</v>
      </c>
      <c r="Z140" s="102">
        <f>IFERROR(INDEX('I2016'!L$5:L$90,MATCH($C140,'I2016'!$A$5:$A$90,0)),"")</f>
        <v>0</v>
      </c>
      <c r="AA140" s="102">
        <f>IFERROR(INDEX('I2016'!M$5:M$90,MATCH($C140,'I2016'!$A$5:$A$90,0)),"")</f>
        <v>0</v>
      </c>
      <c r="AB140" s="102" t="str">
        <f>IFERROR(INDEX('I2017'!B$5:B$96,MATCH($C140,'I2017'!$A$5:$A$96,0)),"")</f>
        <v/>
      </c>
      <c r="AC140" s="102" t="str">
        <f>IFERROR(INDEX('I2017'!C$5:C$96,MATCH($C140,'I2017'!$A$5:$A$96,0)),"")</f>
        <v/>
      </c>
      <c r="AD140" s="102" t="str">
        <f>IFERROR(INDEX('I2017'!D$5:D$96,MATCH($C140,'I2017'!$A$5:$A$96,0)),"")</f>
        <v/>
      </c>
      <c r="AE140" s="102" t="str">
        <f>IFERROR(INDEX('I2017'!E$5:E$96,MATCH($C140,'I2017'!$A$5:$A$96,0)),"")</f>
        <v/>
      </c>
      <c r="AF140" s="102" t="str">
        <f>IFERROR(INDEX('I2017'!F$5:F$96,MATCH($C140,'I2017'!$A$5:$A$96,0)),"")</f>
        <v/>
      </c>
      <c r="AG140" s="102" t="str">
        <f>IFERROR(INDEX('I2017'!G$5:G$96,MATCH($C140,'I2017'!$A$5:$A$96,0)),"")</f>
        <v/>
      </c>
      <c r="AH140" s="102" t="str">
        <f>IFERROR(INDEX('I2017'!H$5:H$96,MATCH($C140,'I2017'!$A$5:$A$96,0)),"")</f>
        <v/>
      </c>
      <c r="AI140" s="102" t="str">
        <f>IFERROR(INDEX('I2017'!I$5:I$96,MATCH($C140,'I2017'!$A$5:$A$96,0)),"")</f>
        <v/>
      </c>
      <c r="AJ140" s="102" t="str">
        <f>IFERROR(INDEX('I2017'!J$5:J$96,MATCH($C140,'I2017'!$A$5:$A$96,0)),"")</f>
        <v/>
      </c>
      <c r="AK140" s="102" t="str">
        <f>IFERROR(INDEX('I2017'!K$5:K$96,MATCH($C140,'I2017'!$A$5:$A$96,0)),"")</f>
        <v/>
      </c>
      <c r="AL140" s="102" t="str">
        <f>IFERROR(INDEX('I2017'!L$5:L$96,MATCH($C140,'I2017'!$A$5:$A$96,0)),"")</f>
        <v/>
      </c>
      <c r="AM140" s="102" t="str">
        <f>IFERROR(INDEX('I2017'!M$5:M$96,MATCH($C140,'I2017'!$A$5:$A$96,0)),"")</f>
        <v/>
      </c>
      <c r="AN140" s="102" t="str">
        <f>IFERROR(INDEX('I2018'!B$5:B$107,MATCH($C140,'I2018'!$A$5:$A$107,0)),"")</f>
        <v/>
      </c>
      <c r="AO140" s="102" t="str">
        <f>IFERROR(INDEX('I2018'!C$5:C$107,MATCH($C140,'I2018'!$A$5:$A$107,0)),"")</f>
        <v/>
      </c>
      <c r="AP140" s="102" t="str">
        <f>IFERROR(INDEX('I2018'!D$5:D$107,MATCH($C140,'I2018'!$A$5:$A$107,0)),"")</f>
        <v/>
      </c>
      <c r="AQ140" s="102" t="str">
        <f>IFERROR(INDEX('I2018'!E$5:E$107,MATCH($C140,'I2018'!$A$5:$A$107,0)),"")</f>
        <v/>
      </c>
      <c r="AR140" s="102" t="str">
        <f>IFERROR(INDEX('I2018'!F$5:F$107,MATCH($C140,'I2018'!$A$5:$A$107,0)),"")</f>
        <v/>
      </c>
      <c r="AS140" s="102" t="str">
        <f>IFERROR(INDEX('I2018'!G$5:G$107,MATCH($C140,'I2018'!$A$5:$A$107,0)),"")</f>
        <v/>
      </c>
      <c r="AT140" s="102" t="str">
        <f>IFERROR(INDEX('I2018'!H$5:H$107,MATCH($C140,'I2018'!$A$5:$A$107,0)),"")</f>
        <v/>
      </c>
      <c r="AU140" s="102" t="str">
        <f>IFERROR(INDEX('I2018'!I$5:I$107,MATCH($C140,'I2018'!$A$5:$A$107,0)),"")</f>
        <v/>
      </c>
      <c r="AV140" s="102" t="str">
        <f>IFERROR(INDEX('I2018'!J$5:J$107,MATCH($C140,'I2018'!$A$5:$A$107,0)),"")</f>
        <v/>
      </c>
      <c r="AW140" s="102" t="str">
        <f>IFERROR(INDEX('I2018'!K$5:K$107,MATCH($C140,'I2018'!$A$5:$A$107,0)),"")</f>
        <v/>
      </c>
      <c r="AX140" s="102" t="str">
        <f>IFERROR(INDEX('I2018'!L$5:L$107,MATCH($C140,'I2018'!$A$5:$A$107,0)),"")</f>
        <v/>
      </c>
      <c r="AY140" s="102" t="str">
        <f>IFERROR(INDEX('I2018'!M$5:M$107,MATCH($C140,'I2018'!$A$5:$A$107,0)),"")</f>
        <v/>
      </c>
      <c r="AZ140" s="102" t="str">
        <f>IFERROR(INDEX('I2019'!B$5:B$112,MATCH($C140,'I2019'!$A$5:$A$112,0)),"")</f>
        <v/>
      </c>
      <c r="BA140" s="102" t="str">
        <f>IFERROR(INDEX('I2019'!C$5:C$112,MATCH($C140,'I2019'!$A$5:$A$112,0)),"")</f>
        <v/>
      </c>
      <c r="BB140" s="102" t="str">
        <f>IFERROR(INDEX('I2019'!D$5:D$112,MATCH($C140,'I2019'!$A$5:$A$112,0)),"")</f>
        <v/>
      </c>
      <c r="BC140" s="102" t="str">
        <f>IFERROR(INDEX('I2019'!E$5:E$112,MATCH($C140,'I2019'!$A$5:$A$112,0)),"")</f>
        <v/>
      </c>
      <c r="BD140" s="102" t="str">
        <f>IFERROR(INDEX('I2019'!F$5:F$112,MATCH($C140,'I2019'!$A$5:$A$112,0)),"")</f>
        <v/>
      </c>
      <c r="BE140" s="102" t="str">
        <f>IFERROR(INDEX('I2019'!G$5:G$112,MATCH($C140,'I2019'!$A$5:$A$112,0)),"")</f>
        <v/>
      </c>
      <c r="BF140" s="102" t="str">
        <f>IFERROR(INDEX('I2019'!H$5:H$112,MATCH($C140,'I2019'!$A$5:$A$112,0)),"")</f>
        <v/>
      </c>
      <c r="BG140" s="102" t="str">
        <f>IFERROR(INDEX('I2019'!I$5:I$112,MATCH($C140,'I2019'!$A$5:$A$112,0)),"")</f>
        <v/>
      </c>
      <c r="BH140" s="102" t="str">
        <f>IFERROR(INDEX('I2019'!J$5:J$112,MATCH($C140,'I2019'!$A$5:$A$112,0)),"")</f>
        <v/>
      </c>
      <c r="BI140" s="102" t="str">
        <f>IFERROR(INDEX('I2019'!K$5:K$112,MATCH($C140,'I2019'!$A$5:$A$112,0)),"")</f>
        <v/>
      </c>
      <c r="BJ140" s="102" t="str">
        <f>IFERROR(INDEX('I2019'!L$5:L$112,MATCH($C140,'I2019'!$A$5:$A$112,0)),"")</f>
        <v/>
      </c>
      <c r="BK140" s="102" t="str">
        <f>IFERROR(INDEX('I2019'!M$5:M$112,MATCH($C140,'I2019'!$A$5:$A$112,0)),"")</f>
        <v/>
      </c>
      <c r="BL140" s="102" t="str">
        <f>IFERROR(INDEX('I2020'!B$5:B$113,MATCH($C140,'I2020'!$A$5:$A$113,0)),"")</f>
        <v/>
      </c>
      <c r="BM140" s="102" t="str">
        <f>IFERROR(INDEX('I2020'!C$5:C$113,MATCH($C140,'I2020'!$A$5:$A$113,0)),"")</f>
        <v/>
      </c>
      <c r="BN140" s="102" t="str">
        <f>IFERROR(INDEX('I2020'!D$5:D$113,MATCH($C140,'I2020'!$A$5:$A$113,0)),"")</f>
        <v/>
      </c>
      <c r="BO140" s="102" t="str">
        <f>IFERROR(INDEX('I2020'!E$5:E$113,MATCH($C140,'I2020'!$A$5:$A$113,0)),"")</f>
        <v/>
      </c>
      <c r="BP140" s="102" t="str">
        <f>IFERROR(INDEX('I2020'!F$5:F$113,MATCH($C140,'I2020'!$A$5:$A$113,0)),"")</f>
        <v/>
      </c>
      <c r="BQ140" s="392" t="str">
        <f>IFERROR(INDEX('I2020'!G$5:G$113,MATCH($C140,'I2020'!$A$5:$A$113,0)),"")</f>
        <v/>
      </c>
      <c r="BR140" s="64"/>
      <c r="BS140" s="64"/>
      <c r="BT140" s="64"/>
      <c r="BU140" s="64"/>
      <c r="BV140" s="64"/>
      <c r="BW140" s="64"/>
      <c r="BX140" s="64"/>
      <c r="BY140" s="64"/>
      <c r="BZ140" s="64"/>
      <c r="CA140" s="64"/>
      <c r="CB140" s="64"/>
      <c r="CC140" s="64"/>
      <c r="CD140" s="64"/>
      <c r="CE140" s="64"/>
      <c r="CF140" s="64"/>
      <c r="CG140" s="64"/>
      <c r="CH140" s="64"/>
      <c r="CI140" s="124"/>
      <c r="CJ140" s="134"/>
    </row>
    <row r="141" spans="1:88" x14ac:dyDescent="0.3">
      <c r="A141" s="33"/>
      <c r="B141" s="68"/>
      <c r="C141" s="21" t="s">
        <v>158</v>
      </c>
      <c r="D141" s="102">
        <f>IFERROR(INDEX('I2015'!B$5:B$73,MATCH($C141,'I2015'!$A$5:$A$73,0)),"")</f>
        <v>11.69</v>
      </c>
      <c r="E141" s="102">
        <f>IFERROR(INDEX('I2015'!C$5:C$73,MATCH($C141,'I2015'!$A$5:$A$73,0)),"")</f>
        <v>825.99</v>
      </c>
      <c r="F141" s="102">
        <f>IFERROR(INDEX('I2015'!D$5:D$73,MATCH($C141,'I2015'!$A$5:$A$73,0)),"")</f>
        <v>1339.56</v>
      </c>
      <c r="G141" s="102">
        <f>IFERROR(INDEX('I2015'!E$5:E$73,MATCH($C141,'I2015'!$A$5:$A$73,0)),"")</f>
        <v>2265.41</v>
      </c>
      <c r="H141" s="102">
        <f>IFERROR(INDEX('I2015'!F$5:F$73,MATCH($C141,'I2015'!$A$5:$A$73,0)),"")</f>
        <v>1597.06</v>
      </c>
      <c r="I141" s="102">
        <f>IFERROR(INDEX('I2015'!G$5:G$73,MATCH($C141,'I2015'!$A$5:$A$73,0)),"")</f>
        <v>948.44</v>
      </c>
      <c r="J141" s="102">
        <f>IFERROR(INDEX('I2015'!H$5:H$73,MATCH($C141,'I2015'!$A$5:$A$73,0)),"")</f>
        <v>2744.48</v>
      </c>
      <c r="K141" s="102">
        <f>IFERROR(INDEX('I2015'!I$5:I$73,MATCH($C141,'I2015'!$A$5:$A$73,0)),"")</f>
        <v>2909.24</v>
      </c>
      <c r="L141" s="102">
        <f>IFERROR(INDEX('I2015'!J$5:J$73,MATCH($C141,'I2015'!$A$5:$A$73,0)),"")</f>
        <v>3474.64</v>
      </c>
      <c r="M141" s="102">
        <f>IFERROR(INDEX('I2015'!K$5:K$73,MATCH($C141,'I2015'!$A$5:$A$73,0)),"")</f>
        <v>3457.59</v>
      </c>
      <c r="N141" s="102">
        <f>IFERROR(INDEX('I2015'!L$5:L$73,MATCH($C141,'I2015'!$A$5:$A$73,0)),"")</f>
        <v>3127.99</v>
      </c>
      <c r="O141" s="102">
        <f>IFERROR(INDEX('I2015'!M$5:M$73,MATCH($C141,'I2015'!$A$5:$A$73,0)),"")</f>
        <v>3052.48</v>
      </c>
      <c r="P141" s="102">
        <f>IFERROR(INDEX('I2016'!B$5:B$90,MATCH($C141,'I2016'!$A$5:$A$90,0)),"")</f>
        <v>4062.65</v>
      </c>
      <c r="Q141" s="102">
        <f>IFERROR(INDEX('I2016'!C$5:C$90,MATCH($C141,'I2016'!$A$5:$A$90,0)),"")</f>
        <v>3840.53</v>
      </c>
      <c r="R141" s="102">
        <f>IFERROR(INDEX('I2016'!D$5:D$90,MATCH($C141,'I2016'!$A$5:$A$90,0)),"")</f>
        <v>4567.8999999999996</v>
      </c>
      <c r="S141" s="102">
        <f>IFERROR(INDEX('I2016'!E$5:E$90,MATCH($C141,'I2016'!$A$5:$A$90,0)),"")</f>
        <v>5305.83</v>
      </c>
      <c r="T141" s="102">
        <f>IFERROR(INDEX('I2016'!F$5:F$90,MATCH($C141,'I2016'!$A$5:$A$90,0)),"")</f>
        <v>3782.4</v>
      </c>
      <c r="U141" s="102">
        <f>IFERROR(INDEX('I2016'!G$5:G$90,MATCH($C141,'I2016'!$A$5:$A$90,0)),"")</f>
        <v>5297.17</v>
      </c>
      <c r="V141" s="102">
        <f>IFERROR(INDEX('I2016'!H$5:H$90,MATCH($C141,'I2016'!$A$5:$A$90,0)),"")</f>
        <v>1778.48</v>
      </c>
      <c r="W141" s="102">
        <f>IFERROR(INDEX('I2016'!I$5:I$90,MATCH($C141,'I2016'!$A$5:$A$90,0)),"")</f>
        <v>3710.61</v>
      </c>
      <c r="X141" s="102">
        <f>IFERROR(INDEX('I2016'!J$5:J$90,MATCH($C141,'I2016'!$A$5:$A$90,0)),"")</f>
        <v>4314.68</v>
      </c>
      <c r="Y141" s="102">
        <f>IFERROR(INDEX('I2016'!K$5:K$90,MATCH($C141,'I2016'!$A$5:$A$90,0)),"")</f>
        <v>3744.38</v>
      </c>
      <c r="Z141" s="102">
        <f>IFERROR(INDEX('I2016'!L$5:L$90,MATCH($C141,'I2016'!$A$5:$A$90,0)),"")</f>
        <v>5188.72</v>
      </c>
      <c r="AA141" s="102">
        <f>IFERROR(INDEX('I2016'!M$5:M$90,MATCH($C141,'I2016'!$A$5:$A$90,0)),"")</f>
        <v>545.07000000000005</v>
      </c>
      <c r="AB141" s="102" t="str">
        <f>IFERROR(INDEX('I2017'!B$5:B$96,MATCH($C141,'I2017'!$A$5:$A$96,0)),"")</f>
        <v/>
      </c>
      <c r="AC141" s="102" t="str">
        <f>IFERROR(INDEX('I2017'!C$5:C$96,MATCH($C141,'I2017'!$A$5:$A$96,0)),"")</f>
        <v/>
      </c>
      <c r="AD141" s="102" t="str">
        <f>IFERROR(INDEX('I2017'!D$5:D$96,MATCH($C141,'I2017'!$A$5:$A$96,0)),"")</f>
        <v/>
      </c>
      <c r="AE141" s="102" t="str">
        <f>IFERROR(INDEX('I2017'!E$5:E$96,MATCH($C141,'I2017'!$A$5:$A$96,0)),"")</f>
        <v/>
      </c>
      <c r="AF141" s="102" t="str">
        <f>IFERROR(INDEX('I2017'!F$5:F$96,MATCH($C141,'I2017'!$A$5:$A$96,0)),"")</f>
        <v/>
      </c>
      <c r="AG141" s="102" t="str">
        <f>IFERROR(INDEX('I2017'!G$5:G$96,MATCH($C141,'I2017'!$A$5:$A$96,0)),"")</f>
        <v/>
      </c>
      <c r="AH141" s="102" t="str">
        <f>IFERROR(INDEX('I2017'!H$5:H$96,MATCH($C141,'I2017'!$A$5:$A$96,0)),"")</f>
        <v/>
      </c>
      <c r="AI141" s="102" t="str">
        <f>IFERROR(INDEX('I2017'!I$5:I$96,MATCH($C141,'I2017'!$A$5:$A$96,0)),"")</f>
        <v/>
      </c>
      <c r="AJ141" s="102" t="str">
        <f>IFERROR(INDEX('I2017'!J$5:J$96,MATCH($C141,'I2017'!$A$5:$A$96,0)),"")</f>
        <v/>
      </c>
      <c r="AK141" s="102" t="str">
        <f>IFERROR(INDEX('I2017'!K$5:K$96,MATCH($C141,'I2017'!$A$5:$A$96,0)),"")</f>
        <v/>
      </c>
      <c r="AL141" s="102" t="str">
        <f>IFERROR(INDEX('I2017'!L$5:L$96,MATCH($C141,'I2017'!$A$5:$A$96,0)),"")</f>
        <v/>
      </c>
      <c r="AM141" s="102" t="str">
        <f>IFERROR(INDEX('I2017'!M$5:M$96,MATCH($C141,'I2017'!$A$5:$A$96,0)),"")</f>
        <v/>
      </c>
      <c r="AN141" s="102" t="str">
        <f>IFERROR(INDEX('I2018'!B$5:B$107,MATCH($C141,'I2018'!$A$5:$A$107,0)),"")</f>
        <v/>
      </c>
      <c r="AO141" s="102" t="str">
        <f>IFERROR(INDEX('I2018'!C$5:C$107,MATCH($C141,'I2018'!$A$5:$A$107,0)),"")</f>
        <v/>
      </c>
      <c r="AP141" s="102" t="str">
        <f>IFERROR(INDEX('I2018'!D$5:D$107,MATCH($C141,'I2018'!$A$5:$A$107,0)),"")</f>
        <v/>
      </c>
      <c r="AQ141" s="102" t="str">
        <f>IFERROR(INDEX('I2018'!E$5:E$107,MATCH($C141,'I2018'!$A$5:$A$107,0)),"")</f>
        <v/>
      </c>
      <c r="AR141" s="102" t="str">
        <f>IFERROR(INDEX('I2018'!F$5:F$107,MATCH($C141,'I2018'!$A$5:$A$107,0)),"")</f>
        <v/>
      </c>
      <c r="AS141" s="102" t="str">
        <f>IFERROR(INDEX('I2018'!G$5:G$107,MATCH($C141,'I2018'!$A$5:$A$107,0)),"")</f>
        <v/>
      </c>
      <c r="AT141" s="102" t="str">
        <f>IFERROR(INDEX('I2018'!H$5:H$107,MATCH($C141,'I2018'!$A$5:$A$107,0)),"")</f>
        <v/>
      </c>
      <c r="AU141" s="102" t="str">
        <f>IFERROR(INDEX('I2018'!I$5:I$107,MATCH($C141,'I2018'!$A$5:$A$107,0)),"")</f>
        <v/>
      </c>
      <c r="AV141" s="102" t="str">
        <f>IFERROR(INDEX('I2018'!J$5:J$107,MATCH($C141,'I2018'!$A$5:$A$107,0)),"")</f>
        <v/>
      </c>
      <c r="AW141" s="102" t="str">
        <f>IFERROR(INDEX('I2018'!K$5:K$107,MATCH($C141,'I2018'!$A$5:$A$107,0)),"")</f>
        <v/>
      </c>
      <c r="AX141" s="102" t="str">
        <f>IFERROR(INDEX('I2018'!L$5:L$107,MATCH($C141,'I2018'!$A$5:$A$107,0)),"")</f>
        <v/>
      </c>
      <c r="AY141" s="102" t="str">
        <f>IFERROR(INDEX('I2018'!M$5:M$107,MATCH($C141,'I2018'!$A$5:$A$107,0)),"")</f>
        <v/>
      </c>
      <c r="AZ141" s="102" t="str">
        <f>IFERROR(INDEX('I2019'!B$5:B$112,MATCH($C141,'I2019'!$A$5:$A$112,0)),"")</f>
        <v/>
      </c>
      <c r="BA141" s="102" t="str">
        <f>IFERROR(INDEX('I2019'!C$5:C$112,MATCH($C141,'I2019'!$A$5:$A$112,0)),"")</f>
        <v/>
      </c>
      <c r="BB141" s="102" t="str">
        <f>IFERROR(INDEX('I2019'!D$5:D$112,MATCH($C141,'I2019'!$A$5:$A$112,0)),"")</f>
        <v/>
      </c>
      <c r="BC141" s="102" t="str">
        <f>IFERROR(INDEX('I2019'!E$5:E$112,MATCH($C141,'I2019'!$A$5:$A$112,0)),"")</f>
        <v/>
      </c>
      <c r="BD141" s="102" t="str">
        <f>IFERROR(INDEX('I2019'!F$5:F$112,MATCH($C141,'I2019'!$A$5:$A$112,0)),"")</f>
        <v/>
      </c>
      <c r="BE141" s="102" t="str">
        <f>IFERROR(INDEX('I2019'!G$5:G$112,MATCH($C141,'I2019'!$A$5:$A$112,0)),"")</f>
        <v/>
      </c>
      <c r="BF141" s="102" t="str">
        <f>IFERROR(INDEX('I2019'!H$5:H$112,MATCH($C141,'I2019'!$A$5:$A$112,0)),"")</f>
        <v/>
      </c>
      <c r="BG141" s="102" t="str">
        <f>IFERROR(INDEX('I2019'!I$5:I$112,MATCH($C141,'I2019'!$A$5:$A$112,0)),"")</f>
        <v/>
      </c>
      <c r="BH141" s="102" t="str">
        <f>IFERROR(INDEX('I2019'!J$5:J$112,MATCH($C141,'I2019'!$A$5:$A$112,0)),"")</f>
        <v/>
      </c>
      <c r="BI141" s="102" t="str">
        <f>IFERROR(INDEX('I2019'!K$5:K$112,MATCH($C141,'I2019'!$A$5:$A$112,0)),"")</f>
        <v/>
      </c>
      <c r="BJ141" s="102" t="str">
        <f>IFERROR(INDEX('I2019'!L$5:L$112,MATCH($C141,'I2019'!$A$5:$A$112,0)),"")</f>
        <v/>
      </c>
      <c r="BK141" s="102" t="str">
        <f>IFERROR(INDEX('I2019'!M$5:M$112,MATCH($C141,'I2019'!$A$5:$A$112,0)),"")</f>
        <v/>
      </c>
      <c r="BL141" s="102" t="str">
        <f>IFERROR(INDEX('I2020'!B$5:B$113,MATCH($C141,'I2020'!$A$5:$A$113,0)),"")</f>
        <v/>
      </c>
      <c r="BM141" s="102" t="str">
        <f>IFERROR(INDEX('I2020'!C$5:C$113,MATCH($C141,'I2020'!$A$5:$A$113,0)),"")</f>
        <v/>
      </c>
      <c r="BN141" s="102" t="str">
        <f>IFERROR(INDEX('I2020'!D$5:D$113,MATCH($C141,'I2020'!$A$5:$A$113,0)),"")</f>
        <v/>
      </c>
      <c r="BO141" s="102" t="str">
        <f>IFERROR(INDEX('I2020'!E$5:E$113,MATCH($C141,'I2020'!$A$5:$A$113,0)),"")</f>
        <v/>
      </c>
      <c r="BP141" s="102" t="str">
        <f>IFERROR(INDEX('I2020'!F$5:F$113,MATCH($C141,'I2020'!$A$5:$A$113,0)),"")</f>
        <v/>
      </c>
      <c r="BQ141" s="392" t="str">
        <f>IFERROR(INDEX('I2020'!G$5:G$113,MATCH($C141,'I2020'!$A$5:$A$113,0)),"")</f>
        <v/>
      </c>
      <c r="BR141" s="64"/>
      <c r="BS141" s="64"/>
      <c r="BT141" s="64"/>
      <c r="BU141" s="64"/>
      <c r="BV141" s="64"/>
      <c r="BW141" s="64"/>
      <c r="BX141" s="64"/>
      <c r="BY141" s="64"/>
      <c r="BZ141" s="64"/>
      <c r="CA141" s="64"/>
      <c r="CB141" s="64"/>
      <c r="CC141" s="64"/>
      <c r="CD141" s="64"/>
      <c r="CE141" s="64"/>
      <c r="CF141" s="64"/>
      <c r="CG141" s="64"/>
      <c r="CH141" s="64"/>
      <c r="CI141" s="124"/>
      <c r="CJ141" s="134"/>
    </row>
    <row r="142" spans="1:88" x14ac:dyDescent="0.3">
      <c r="A142" s="33"/>
      <c r="B142" s="68"/>
      <c r="C142" s="21" t="s">
        <v>159</v>
      </c>
      <c r="D142" s="22" t="str">
        <f>IFERROR(INDEX('I2015'!B$5:B$73,MATCH($C142,'I2015'!$A$5:$A$73,0)),"")</f>
        <v/>
      </c>
      <c r="E142" s="22" t="str">
        <f>IFERROR(INDEX('I2015'!C$5:C$73,MATCH($C142,'I2015'!$A$5:$A$73,0)),"")</f>
        <v/>
      </c>
      <c r="F142" s="22" t="str">
        <f>IFERROR(INDEX('I2015'!D$5:D$73,MATCH($C142,'I2015'!$A$5:$A$73,0)),"")</f>
        <v/>
      </c>
      <c r="G142" s="22" t="str">
        <f>IFERROR(INDEX('I2015'!E$5:E$73,MATCH($C142,'I2015'!$A$5:$A$73,0)),"")</f>
        <v/>
      </c>
      <c r="H142" s="22" t="str">
        <f>IFERROR(INDEX('I2015'!F$5:F$73,MATCH($C142,'I2015'!$A$5:$A$73,0)),"")</f>
        <v/>
      </c>
      <c r="I142" s="22" t="str">
        <f>IFERROR(INDEX('I2015'!G$5:G$73,MATCH($C142,'I2015'!$A$5:$A$73,0)),"")</f>
        <v/>
      </c>
      <c r="J142" s="22" t="str">
        <f>IFERROR(INDEX('I2015'!H$5:H$73,MATCH($C142,'I2015'!$A$5:$A$73,0)),"")</f>
        <v/>
      </c>
      <c r="K142" s="22" t="str">
        <f>IFERROR(INDEX('I2015'!I$5:I$73,MATCH($C142,'I2015'!$A$5:$A$73,0)),"")</f>
        <v/>
      </c>
      <c r="L142" s="22" t="str">
        <f>IFERROR(INDEX('I2015'!J$5:J$73,MATCH($C142,'I2015'!$A$5:$A$73,0)),"")</f>
        <v/>
      </c>
      <c r="M142" s="22" t="str">
        <f>IFERROR(INDEX('I2015'!K$5:K$73,MATCH($C142,'I2015'!$A$5:$A$73,0)),"")</f>
        <v/>
      </c>
      <c r="N142" s="22" t="str">
        <f>IFERROR(INDEX('I2015'!L$5:L$73,MATCH($C142,'I2015'!$A$5:$A$73,0)),"")</f>
        <v/>
      </c>
      <c r="O142" s="22" t="str">
        <f>IFERROR(INDEX('I2015'!M$5:M$73,MATCH($C142,'I2015'!$A$5:$A$73,0)),"")</f>
        <v/>
      </c>
      <c r="P142" s="22">
        <f>IFERROR(INDEX('I2016'!B$5:B$90,MATCH($C142,'I2016'!$A$5:$A$90,0)),"")</f>
        <v>0</v>
      </c>
      <c r="Q142" s="22">
        <f>IFERROR(INDEX('I2016'!C$5:C$90,MATCH($C142,'I2016'!$A$5:$A$90,0)),"")</f>
        <v>0</v>
      </c>
      <c r="R142" s="22">
        <f>IFERROR(INDEX('I2016'!D$5:D$90,MATCH($C142,'I2016'!$A$5:$A$90,0)),"")</f>
        <v>292.2</v>
      </c>
      <c r="S142" s="22">
        <f>IFERROR(INDEX('I2016'!E$5:E$90,MATCH($C142,'I2016'!$A$5:$A$90,0)),"")</f>
        <v>0</v>
      </c>
      <c r="T142" s="22">
        <f>IFERROR(INDEX('I2016'!F$5:F$90,MATCH($C142,'I2016'!$A$5:$A$90,0)),"")</f>
        <v>0</v>
      </c>
      <c r="U142" s="22">
        <f>IFERROR(INDEX('I2016'!G$5:G$90,MATCH($C142,'I2016'!$A$5:$A$90,0)),"")</f>
        <v>99</v>
      </c>
      <c r="V142" s="22">
        <f>IFERROR(INDEX('I2016'!H$5:H$90,MATCH($C142,'I2016'!$A$5:$A$90,0)),"")</f>
        <v>0</v>
      </c>
      <c r="W142" s="22">
        <f>IFERROR(INDEX('I2016'!I$5:I$90,MATCH($C142,'I2016'!$A$5:$A$90,0)),"")</f>
        <v>0</v>
      </c>
      <c r="X142" s="22">
        <f>IFERROR(INDEX('I2016'!J$5:J$90,MATCH($C142,'I2016'!$A$5:$A$90,0)),"")</f>
        <v>99</v>
      </c>
      <c r="Y142" s="22">
        <f>IFERROR(INDEX('I2016'!K$5:K$90,MATCH($C142,'I2016'!$A$5:$A$90,0)),"")</f>
        <v>0</v>
      </c>
      <c r="Z142" s="22">
        <f>IFERROR(INDEX('I2016'!L$5:L$90,MATCH($C142,'I2016'!$A$5:$A$90,0)),"")</f>
        <v>0</v>
      </c>
      <c r="AA142" s="22">
        <f>IFERROR(INDEX('I2016'!M$5:M$90,MATCH($C142,'I2016'!$A$5:$A$90,0)),"")</f>
        <v>213.27</v>
      </c>
      <c r="AB142" s="22" t="str">
        <f>IFERROR(INDEX('I2017'!B$5:B$96,MATCH($C142,'I2017'!$A$5:$A$96,0)),"")</f>
        <v/>
      </c>
      <c r="AC142" s="22" t="str">
        <f>IFERROR(INDEX('I2017'!C$5:C$96,MATCH($C142,'I2017'!$A$5:$A$96,0)),"")</f>
        <v/>
      </c>
      <c r="AD142" s="22" t="str">
        <f>IFERROR(INDEX('I2017'!D$5:D$96,MATCH($C142,'I2017'!$A$5:$A$96,0)),"")</f>
        <v/>
      </c>
      <c r="AE142" s="22" t="str">
        <f>IFERROR(INDEX('I2017'!E$5:E$96,MATCH($C142,'I2017'!$A$5:$A$96,0)),"")</f>
        <v/>
      </c>
      <c r="AF142" s="22" t="str">
        <f>IFERROR(INDEX('I2017'!F$5:F$96,MATCH($C142,'I2017'!$A$5:$A$96,0)),"")</f>
        <v/>
      </c>
      <c r="AG142" s="22" t="str">
        <f>IFERROR(INDEX('I2017'!G$5:G$96,MATCH($C142,'I2017'!$A$5:$A$96,0)),"")</f>
        <v/>
      </c>
      <c r="AH142" s="22" t="str">
        <f>IFERROR(INDEX('I2017'!H$5:H$96,MATCH($C142,'I2017'!$A$5:$A$96,0)),"")</f>
        <v/>
      </c>
      <c r="AI142" s="22" t="str">
        <f>IFERROR(INDEX('I2017'!I$5:I$96,MATCH($C142,'I2017'!$A$5:$A$96,0)),"")</f>
        <v/>
      </c>
      <c r="AJ142" s="22" t="str">
        <f>IFERROR(INDEX('I2017'!J$5:J$96,MATCH($C142,'I2017'!$A$5:$A$96,0)),"")</f>
        <v/>
      </c>
      <c r="AK142" s="22" t="str">
        <f>IFERROR(INDEX('I2017'!K$5:K$96,MATCH($C142,'I2017'!$A$5:$A$96,0)),"")</f>
        <v/>
      </c>
      <c r="AL142" s="22" t="str">
        <f>IFERROR(INDEX('I2017'!L$5:L$96,MATCH($C142,'I2017'!$A$5:$A$96,0)),"")</f>
        <v/>
      </c>
      <c r="AM142" s="22" t="str">
        <f>IFERROR(INDEX('I2017'!M$5:M$96,MATCH($C142,'I2017'!$A$5:$A$96,0)),"")</f>
        <v/>
      </c>
      <c r="AN142" s="22" t="str">
        <f>IFERROR(INDEX('I2018'!B$5:B$107,MATCH($C142,'I2018'!$A$5:$A$107,0)),"")</f>
        <v/>
      </c>
      <c r="AO142" s="22" t="str">
        <f>IFERROR(INDEX('I2018'!C$5:C$107,MATCH($C142,'I2018'!$A$5:$A$107,0)),"")</f>
        <v/>
      </c>
      <c r="AP142" s="22" t="str">
        <f>IFERROR(INDEX('I2018'!D$5:D$107,MATCH($C142,'I2018'!$A$5:$A$107,0)),"")</f>
        <v/>
      </c>
      <c r="AQ142" s="22" t="str">
        <f>IFERROR(INDEX('I2018'!E$5:E$107,MATCH($C142,'I2018'!$A$5:$A$107,0)),"")</f>
        <v/>
      </c>
      <c r="AR142" s="22" t="str">
        <f>IFERROR(INDEX('I2018'!F$5:F$107,MATCH($C142,'I2018'!$A$5:$A$107,0)),"")</f>
        <v/>
      </c>
      <c r="AS142" s="22" t="str">
        <f>IFERROR(INDEX('I2018'!G$5:G$107,MATCH($C142,'I2018'!$A$5:$A$107,0)),"")</f>
        <v/>
      </c>
      <c r="AT142" s="22" t="str">
        <f>IFERROR(INDEX('I2018'!H$5:H$107,MATCH($C142,'I2018'!$A$5:$A$107,0)),"")</f>
        <v/>
      </c>
      <c r="AU142" s="22" t="str">
        <f>IFERROR(INDEX('I2018'!I$5:I$107,MATCH($C142,'I2018'!$A$5:$A$107,0)),"")</f>
        <v/>
      </c>
      <c r="AV142" s="22" t="str">
        <f>IFERROR(INDEX('I2018'!J$5:J$107,MATCH($C142,'I2018'!$A$5:$A$107,0)),"")</f>
        <v/>
      </c>
      <c r="AW142" s="22" t="str">
        <f>IFERROR(INDEX('I2018'!K$5:K$107,MATCH($C142,'I2018'!$A$5:$A$107,0)),"")</f>
        <v/>
      </c>
      <c r="AX142" s="22" t="str">
        <f>IFERROR(INDEX('I2018'!L$5:L$107,MATCH($C142,'I2018'!$A$5:$A$107,0)),"")</f>
        <v/>
      </c>
      <c r="AY142" s="22" t="str">
        <f>IFERROR(INDEX('I2018'!M$5:M$107,MATCH($C142,'I2018'!$A$5:$A$107,0)),"")</f>
        <v/>
      </c>
      <c r="AZ142" s="22" t="str">
        <f>IFERROR(INDEX('I2019'!B$5:B$112,MATCH($C142,'I2019'!$A$5:$A$112,0)),"")</f>
        <v/>
      </c>
      <c r="BA142" s="22" t="str">
        <f>IFERROR(INDEX('I2019'!C$5:C$112,MATCH($C142,'I2019'!$A$5:$A$112,0)),"")</f>
        <v/>
      </c>
      <c r="BB142" s="22" t="str">
        <f>IFERROR(INDEX('I2019'!D$5:D$112,MATCH($C142,'I2019'!$A$5:$A$112,0)),"")</f>
        <v/>
      </c>
      <c r="BC142" s="22" t="str">
        <f>IFERROR(INDEX('I2019'!E$5:E$112,MATCH($C142,'I2019'!$A$5:$A$112,0)),"")</f>
        <v/>
      </c>
      <c r="BD142" s="22" t="str">
        <f>IFERROR(INDEX('I2019'!F$5:F$112,MATCH($C142,'I2019'!$A$5:$A$112,0)),"")</f>
        <v/>
      </c>
      <c r="BE142" s="22" t="str">
        <f>IFERROR(INDEX('I2019'!G$5:G$112,MATCH($C142,'I2019'!$A$5:$A$112,0)),"")</f>
        <v/>
      </c>
      <c r="BF142" s="22" t="str">
        <f>IFERROR(INDEX('I2019'!H$5:H$112,MATCH($C142,'I2019'!$A$5:$A$112,0)),"")</f>
        <v/>
      </c>
      <c r="BG142" s="22" t="str">
        <f>IFERROR(INDEX('I2019'!I$5:I$112,MATCH($C142,'I2019'!$A$5:$A$112,0)),"")</f>
        <v/>
      </c>
      <c r="BH142" s="22" t="str">
        <f>IFERROR(INDEX('I2019'!J$5:J$112,MATCH($C142,'I2019'!$A$5:$A$112,0)),"")</f>
        <v/>
      </c>
      <c r="BI142" s="22" t="str">
        <f>IFERROR(INDEX('I2019'!K$5:K$112,MATCH($C142,'I2019'!$A$5:$A$112,0)),"")</f>
        <v/>
      </c>
      <c r="BJ142" s="22" t="str">
        <f>IFERROR(INDEX('I2019'!L$5:L$112,MATCH($C142,'I2019'!$A$5:$A$112,0)),"")</f>
        <v/>
      </c>
      <c r="BK142" s="22" t="str">
        <f>IFERROR(INDEX('I2019'!M$5:M$112,MATCH($C142,'I2019'!$A$5:$A$112,0)),"")</f>
        <v/>
      </c>
      <c r="BL142" s="22" t="str">
        <f>IFERROR(INDEX('I2020'!B$5:B$113,MATCH($C142,'I2020'!$A$5:$A$113,0)),"")</f>
        <v/>
      </c>
      <c r="BM142" s="22" t="str">
        <f>IFERROR(INDEX('I2020'!C$5:C$113,MATCH($C142,'I2020'!$A$5:$A$113,0)),"")</f>
        <v/>
      </c>
      <c r="BN142" s="22" t="str">
        <f>IFERROR(INDEX('I2020'!D$5:D$113,MATCH($C142,'I2020'!$A$5:$A$113,0)),"")</f>
        <v/>
      </c>
      <c r="BO142" s="22" t="str">
        <f>IFERROR(INDEX('I2020'!E$5:E$113,MATCH($C142,'I2020'!$A$5:$A$113,0)),"")</f>
        <v/>
      </c>
      <c r="BP142" s="22" t="str">
        <f>IFERROR(INDEX('I2020'!F$5:F$113,MATCH($C142,'I2020'!$A$5:$A$113,0)),"")</f>
        <v/>
      </c>
      <c r="BQ142" s="393" t="str">
        <f>IFERROR(INDEX('I2020'!G$5:G$113,MATCH($C142,'I2020'!$A$5:$A$113,0)),"")</f>
        <v/>
      </c>
      <c r="BR142" s="65"/>
      <c r="BS142" s="65"/>
      <c r="BT142" s="65"/>
      <c r="BU142" s="65"/>
      <c r="BV142" s="65"/>
      <c r="BW142" s="65"/>
      <c r="BX142" s="65"/>
      <c r="BY142" s="65"/>
      <c r="BZ142" s="65"/>
      <c r="CA142" s="65"/>
      <c r="CB142" s="65"/>
      <c r="CC142" s="65"/>
      <c r="CD142" s="65"/>
      <c r="CE142" s="65"/>
      <c r="CF142" s="65"/>
      <c r="CG142" s="65"/>
      <c r="CH142" s="65"/>
      <c r="CI142" s="125"/>
      <c r="CJ142" s="134"/>
    </row>
    <row r="143" spans="1:88" ht="21.6" x14ac:dyDescent="0.3">
      <c r="A143" s="33"/>
      <c r="B143" s="166"/>
      <c r="C143" s="26" t="s">
        <v>160</v>
      </c>
      <c r="D143" s="78">
        <f>IFERROR(INDEX('I2015'!B$5:B$73,MATCH($C143,'I2015'!$A$5:$A$73,0)),"")</f>
        <v>5329.69</v>
      </c>
      <c r="E143" s="78">
        <f>IFERROR(INDEX('I2015'!C$5:C$73,MATCH($C143,'I2015'!$A$5:$A$73,0)),"")</f>
        <v>7114.4</v>
      </c>
      <c r="F143" s="78">
        <f>IFERROR(INDEX('I2015'!D$5:D$73,MATCH($C143,'I2015'!$A$5:$A$73,0)),"")</f>
        <v>9347.56</v>
      </c>
      <c r="G143" s="78">
        <f>IFERROR(INDEX('I2015'!E$5:E$73,MATCH($C143,'I2015'!$A$5:$A$73,0)),"")</f>
        <v>11481.220000000001</v>
      </c>
      <c r="H143" s="78">
        <f>IFERROR(INDEX('I2015'!F$5:F$73,MATCH($C143,'I2015'!$A$5:$A$73,0)),"")</f>
        <v>9656.9200000000019</v>
      </c>
      <c r="I143" s="78">
        <f>IFERROR(INDEX('I2015'!G$5:G$73,MATCH($C143,'I2015'!$A$5:$A$73,0)),"")</f>
        <v>10992.720000000001</v>
      </c>
      <c r="J143" s="78">
        <f>IFERROR(INDEX('I2015'!H$5:H$73,MATCH($C143,'I2015'!$A$5:$A$73,0)),"")</f>
        <v>20163.68</v>
      </c>
      <c r="K143" s="78">
        <f>IFERROR(INDEX('I2015'!I$5:I$73,MATCH($C143,'I2015'!$A$5:$A$73,0)),"")</f>
        <v>17116.57</v>
      </c>
      <c r="L143" s="78">
        <f>IFERROR(INDEX('I2015'!J$5:J$73,MATCH($C143,'I2015'!$A$5:$A$73,0)),"")</f>
        <v>19560.36</v>
      </c>
      <c r="M143" s="78">
        <f>IFERROR(INDEX('I2015'!K$5:K$73,MATCH($C143,'I2015'!$A$5:$A$73,0)),"")</f>
        <v>20608.7</v>
      </c>
      <c r="N143" s="78">
        <f>IFERROR(INDEX('I2015'!L$5:L$73,MATCH($C143,'I2015'!$A$5:$A$73,0)),"")</f>
        <v>19764.989999999998</v>
      </c>
      <c r="O143" s="78">
        <f>IFERROR(INDEX('I2015'!M$5:M$73,MATCH($C143,'I2015'!$A$5:$A$73,0)),"")</f>
        <v>24431.88</v>
      </c>
      <c r="P143" s="78">
        <f>IFERROR(INDEX('I2016'!B$5:B$90,MATCH($C143,'I2016'!$A$5:$A$90,0)),"")</f>
        <v>28808.04</v>
      </c>
      <c r="Q143" s="78">
        <f>IFERROR(INDEX('I2016'!C$5:C$90,MATCH($C143,'I2016'!$A$5:$A$90,0)),"")</f>
        <v>33340.699999999997</v>
      </c>
      <c r="R143" s="78">
        <f>IFERROR(INDEX('I2016'!D$5:D$90,MATCH($C143,'I2016'!$A$5:$A$90,0)),"")</f>
        <v>19682.159999999996</v>
      </c>
      <c r="S143" s="78">
        <f>IFERROR(INDEX('I2016'!E$5:E$90,MATCH($C143,'I2016'!$A$5:$A$90,0)),"")</f>
        <v>26480.600000000002</v>
      </c>
      <c r="T143" s="78">
        <f>IFERROR(INDEX('I2016'!F$5:F$90,MATCH($C143,'I2016'!$A$5:$A$90,0)),"")</f>
        <v>24049.67</v>
      </c>
      <c r="U143" s="78">
        <f>IFERROR(INDEX('I2016'!G$5:G$90,MATCH($C143,'I2016'!$A$5:$A$90,0)),"")</f>
        <v>26375.13</v>
      </c>
      <c r="V143" s="78">
        <f>IFERROR(INDEX('I2016'!H$5:H$90,MATCH($C143,'I2016'!$A$5:$A$90,0)),"")</f>
        <v>25065.17</v>
      </c>
      <c r="W143" s="78">
        <f>IFERROR(INDEX('I2016'!I$5:I$90,MATCH($C143,'I2016'!$A$5:$A$90,0)),"")</f>
        <v>30335.519999999997</v>
      </c>
      <c r="X143" s="78">
        <f>IFERROR(INDEX('I2016'!J$5:J$90,MATCH($C143,'I2016'!$A$5:$A$90,0)),"")</f>
        <v>36680.839999999997</v>
      </c>
      <c r="Y143" s="78">
        <f>IFERROR(INDEX('I2016'!K$5:K$90,MATCH($C143,'I2016'!$A$5:$A$90,0)),"")</f>
        <v>32242.58</v>
      </c>
      <c r="Z143" s="78">
        <f>IFERROR(INDEX('I2016'!L$5:L$90,MATCH($C143,'I2016'!$A$5:$A$90,0)),"")</f>
        <v>38154.629999999997</v>
      </c>
      <c r="AA143" s="78">
        <f>IFERROR(INDEX('I2016'!M$5:M$90,MATCH($C143,'I2016'!$A$5:$A$90,0)),"")</f>
        <v>29256.79</v>
      </c>
      <c r="AB143" s="78" t="str">
        <f>IFERROR(INDEX('I2017'!B$5:B$96,MATCH($C143,'I2017'!$A$5:$A$96,0)),"")</f>
        <v/>
      </c>
      <c r="AC143" s="78" t="str">
        <f>IFERROR(INDEX('I2017'!C$5:C$96,MATCH($C143,'I2017'!$A$5:$A$96,0)),"")</f>
        <v/>
      </c>
      <c r="AD143" s="78" t="str">
        <f>IFERROR(INDEX('I2017'!D$5:D$96,MATCH($C143,'I2017'!$A$5:$A$96,0)),"")</f>
        <v/>
      </c>
      <c r="AE143" s="78" t="str">
        <f>IFERROR(INDEX('I2017'!E$5:E$96,MATCH($C143,'I2017'!$A$5:$A$96,0)),"")</f>
        <v/>
      </c>
      <c r="AF143" s="78" t="str">
        <f>IFERROR(INDEX('I2017'!F$5:F$96,MATCH($C143,'I2017'!$A$5:$A$96,0)),"")</f>
        <v/>
      </c>
      <c r="AG143" s="78" t="str">
        <f>IFERROR(INDEX('I2017'!G$5:G$96,MATCH($C143,'I2017'!$A$5:$A$96,0)),"")</f>
        <v/>
      </c>
      <c r="AH143" s="78" t="str">
        <f>IFERROR(INDEX('I2017'!H$5:H$96,MATCH($C143,'I2017'!$A$5:$A$96,0)),"")</f>
        <v/>
      </c>
      <c r="AI143" s="78" t="str">
        <f>IFERROR(INDEX('I2017'!I$5:I$96,MATCH($C143,'I2017'!$A$5:$A$96,0)),"")</f>
        <v/>
      </c>
      <c r="AJ143" s="78" t="str">
        <f>IFERROR(INDEX('I2017'!J$5:J$96,MATCH($C143,'I2017'!$A$5:$A$96,0)),"")</f>
        <v/>
      </c>
      <c r="AK143" s="78" t="str">
        <f>IFERROR(INDEX('I2017'!K$5:K$96,MATCH($C143,'I2017'!$A$5:$A$96,0)),"")</f>
        <v/>
      </c>
      <c r="AL143" s="78" t="str">
        <f>IFERROR(INDEX('I2017'!L$5:L$96,MATCH($C143,'I2017'!$A$5:$A$96,0)),"")</f>
        <v/>
      </c>
      <c r="AM143" s="78" t="str">
        <f>IFERROR(INDEX('I2017'!M$5:M$96,MATCH($C143,'I2017'!$A$5:$A$96,0)),"")</f>
        <v/>
      </c>
      <c r="AN143" s="78" t="str">
        <f>IFERROR(INDEX('I2018'!B$5:B$107,MATCH($C143,'I2018'!$A$5:$A$107,0)),"")</f>
        <v/>
      </c>
      <c r="AO143" s="78" t="str">
        <f>IFERROR(INDEX('I2018'!C$5:C$107,MATCH($C143,'I2018'!$A$5:$A$107,0)),"")</f>
        <v/>
      </c>
      <c r="AP143" s="78" t="str">
        <f>IFERROR(INDEX('I2018'!D$5:D$107,MATCH($C143,'I2018'!$A$5:$A$107,0)),"")</f>
        <v/>
      </c>
      <c r="AQ143" s="78" t="str">
        <f>IFERROR(INDEX('I2018'!E$5:E$107,MATCH($C143,'I2018'!$A$5:$A$107,0)),"")</f>
        <v/>
      </c>
      <c r="AR143" s="78" t="str">
        <f>IFERROR(INDEX('I2018'!F$5:F$107,MATCH($C143,'I2018'!$A$5:$A$107,0)),"")</f>
        <v/>
      </c>
      <c r="AS143" s="78" t="str">
        <f>IFERROR(INDEX('I2018'!G$5:G$107,MATCH($C143,'I2018'!$A$5:$A$107,0)),"")</f>
        <v/>
      </c>
      <c r="AT143" s="78" t="str">
        <f>IFERROR(INDEX('I2018'!H$5:H$107,MATCH($C143,'I2018'!$A$5:$A$107,0)),"")</f>
        <v/>
      </c>
      <c r="AU143" s="78" t="str">
        <f>IFERROR(INDEX('I2018'!I$5:I$107,MATCH($C143,'I2018'!$A$5:$A$107,0)),"")</f>
        <v/>
      </c>
      <c r="AV143" s="78" t="str">
        <f>IFERROR(INDEX('I2018'!J$5:J$107,MATCH($C143,'I2018'!$A$5:$A$107,0)),"")</f>
        <v/>
      </c>
      <c r="AW143" s="78" t="str">
        <f>IFERROR(INDEX('I2018'!K$5:K$107,MATCH($C143,'I2018'!$A$5:$A$107,0)),"")</f>
        <v/>
      </c>
      <c r="AX143" s="78" t="str">
        <f>IFERROR(INDEX('I2018'!L$5:L$107,MATCH($C143,'I2018'!$A$5:$A$107,0)),"")</f>
        <v/>
      </c>
      <c r="AY143" s="78" t="str">
        <f>IFERROR(INDEX('I2018'!M$5:M$107,MATCH($C143,'I2018'!$A$5:$A$107,0)),"")</f>
        <v/>
      </c>
      <c r="AZ143" s="78" t="str">
        <f>IFERROR(INDEX('I2019'!B$5:B$112,MATCH($C143,'I2019'!$A$5:$A$112,0)),"")</f>
        <v/>
      </c>
      <c r="BA143" s="78" t="str">
        <f>IFERROR(INDEX('I2019'!C$5:C$112,MATCH($C143,'I2019'!$A$5:$A$112,0)),"")</f>
        <v/>
      </c>
      <c r="BB143" s="78" t="str">
        <f>IFERROR(INDEX('I2019'!D$5:D$112,MATCH($C143,'I2019'!$A$5:$A$112,0)),"")</f>
        <v/>
      </c>
      <c r="BC143" s="78" t="str">
        <f>IFERROR(INDEX('I2019'!E$5:E$112,MATCH($C143,'I2019'!$A$5:$A$112,0)),"")</f>
        <v/>
      </c>
      <c r="BD143" s="78" t="str">
        <f>IFERROR(INDEX('I2019'!F$5:F$112,MATCH($C143,'I2019'!$A$5:$A$112,0)),"")</f>
        <v/>
      </c>
      <c r="BE143" s="78" t="str">
        <f>IFERROR(INDEX('I2019'!G$5:G$112,MATCH($C143,'I2019'!$A$5:$A$112,0)),"")</f>
        <v/>
      </c>
      <c r="BF143" s="78" t="str">
        <f>IFERROR(INDEX('I2019'!H$5:H$112,MATCH($C143,'I2019'!$A$5:$A$112,0)),"")</f>
        <v/>
      </c>
      <c r="BG143" s="78" t="str">
        <f>IFERROR(INDEX('I2019'!I$5:I$112,MATCH($C143,'I2019'!$A$5:$A$112,0)),"")</f>
        <v/>
      </c>
      <c r="BH143" s="78" t="str">
        <f>IFERROR(INDEX('I2019'!J$5:J$112,MATCH($C143,'I2019'!$A$5:$A$112,0)),"")</f>
        <v/>
      </c>
      <c r="BI143" s="78" t="str">
        <f>IFERROR(INDEX('I2019'!K$5:K$112,MATCH($C143,'I2019'!$A$5:$A$112,0)),"")</f>
        <v/>
      </c>
      <c r="BJ143" s="78" t="str">
        <f>IFERROR(INDEX('I2019'!L$5:L$112,MATCH($C143,'I2019'!$A$5:$A$112,0)),"")</f>
        <v/>
      </c>
      <c r="BK143" s="78" t="str">
        <f>IFERROR(INDEX('I2019'!M$5:M$112,MATCH($C143,'I2019'!$A$5:$A$112,0)),"")</f>
        <v/>
      </c>
      <c r="BL143" s="78" t="str">
        <f>IFERROR(INDEX('I2020'!B$5:B$113,MATCH($C143,'I2020'!$A$5:$A$113,0)),"")</f>
        <v/>
      </c>
      <c r="BM143" s="78" t="str">
        <f>IFERROR(INDEX('I2020'!C$5:C$113,MATCH($C143,'I2020'!$A$5:$A$113,0)),"")</f>
        <v/>
      </c>
      <c r="BN143" s="78" t="str">
        <f>IFERROR(INDEX('I2020'!D$5:D$113,MATCH($C143,'I2020'!$A$5:$A$113,0)),"")</f>
        <v/>
      </c>
      <c r="BO143" s="78" t="str">
        <f>IFERROR(INDEX('I2020'!E$5:E$113,MATCH($C143,'I2020'!$A$5:$A$113,0)),"")</f>
        <v/>
      </c>
      <c r="BP143" s="78" t="str">
        <f>IFERROR(INDEX('I2020'!F$5:F$113,MATCH($C143,'I2020'!$A$5:$A$113,0)),"")</f>
        <v/>
      </c>
      <c r="BQ143" s="398" t="str">
        <f>IFERROR(INDEX('I2020'!G$5:G$113,MATCH($C143,'I2020'!$A$5:$A$113,0)),"")</f>
        <v/>
      </c>
      <c r="BR143" s="55"/>
      <c r="BS143" s="55"/>
      <c r="BT143" s="55"/>
      <c r="BU143" s="55"/>
      <c r="BV143" s="55"/>
      <c r="BW143" s="55"/>
      <c r="BX143" s="55"/>
      <c r="BY143" s="55"/>
      <c r="BZ143" s="55"/>
      <c r="CA143" s="55"/>
      <c r="CB143" s="55"/>
      <c r="CC143" s="55"/>
      <c r="CD143" s="55"/>
      <c r="CE143" s="55"/>
      <c r="CF143" s="55"/>
      <c r="CG143" s="55"/>
      <c r="CH143" s="55"/>
      <c r="CI143" s="126"/>
      <c r="CJ143" s="289"/>
    </row>
    <row r="144" spans="1:88" x14ac:dyDescent="0.3">
      <c r="A144" s="33"/>
      <c r="B144" s="68"/>
      <c r="C144" s="21" t="s">
        <v>190</v>
      </c>
      <c r="D144" s="102">
        <f>IFERROR(INDEX('I2015'!B$5:B$73,MATCH($C144,'I2015'!$A$5:$A$73,0)),"")</f>
        <v>0</v>
      </c>
      <c r="E144" s="102">
        <f>IFERROR(INDEX('I2015'!C$5:C$73,MATCH($C144,'I2015'!$A$5:$A$73,0)),"")</f>
        <v>0</v>
      </c>
      <c r="F144" s="102">
        <f>IFERROR(INDEX('I2015'!D$5:D$73,MATCH($C144,'I2015'!$A$5:$A$73,0)),"")</f>
        <v>0</v>
      </c>
      <c r="G144" s="102">
        <f>IFERROR(INDEX('I2015'!E$5:E$73,MATCH($C144,'I2015'!$A$5:$A$73,0)),"")</f>
        <v>0</v>
      </c>
      <c r="H144" s="102">
        <f>IFERROR(INDEX('I2015'!F$5:F$73,MATCH($C144,'I2015'!$A$5:$A$73,0)),"")</f>
        <v>0</v>
      </c>
      <c r="I144" s="102">
        <f>IFERROR(INDEX('I2015'!G$5:G$73,MATCH($C144,'I2015'!$A$5:$A$73,0)),"")</f>
        <v>2104.58</v>
      </c>
      <c r="J144" s="102">
        <f>IFERROR(INDEX('I2015'!H$5:H$73,MATCH($C144,'I2015'!$A$5:$A$73,0)),"")</f>
        <v>0</v>
      </c>
      <c r="K144" s="102">
        <f>IFERROR(INDEX('I2015'!I$5:I$73,MATCH($C144,'I2015'!$A$5:$A$73,0)),"")</f>
        <v>0</v>
      </c>
      <c r="L144" s="102">
        <f>IFERROR(INDEX('I2015'!J$5:J$73,MATCH($C144,'I2015'!$A$5:$A$73,0)),"")</f>
        <v>0</v>
      </c>
      <c r="M144" s="102">
        <f>IFERROR(INDEX('I2015'!K$5:K$73,MATCH($C144,'I2015'!$A$5:$A$73,0)),"")</f>
        <v>0</v>
      </c>
      <c r="N144" s="102">
        <f>IFERROR(INDEX('I2015'!L$5:L$73,MATCH($C144,'I2015'!$A$5:$A$73,0)),"")</f>
        <v>0</v>
      </c>
      <c r="O144" s="102">
        <f>IFERROR(INDEX('I2015'!M$5:M$73,MATCH($C144,'I2015'!$A$5:$A$73,0)),"")</f>
        <v>0</v>
      </c>
      <c r="P144" s="102" t="str">
        <f>IFERROR(INDEX('I2016'!B$5:B$90,MATCH($C144,'I2016'!$A$5:$A$90,0)),"")</f>
        <v/>
      </c>
      <c r="Q144" s="102" t="str">
        <f>IFERROR(INDEX('I2016'!C$5:C$90,MATCH($C144,'I2016'!$A$5:$A$90,0)),"")</f>
        <v/>
      </c>
      <c r="R144" s="102" t="str">
        <f>IFERROR(INDEX('I2016'!D$5:D$90,MATCH($C144,'I2016'!$A$5:$A$90,0)),"")</f>
        <v/>
      </c>
      <c r="S144" s="102" t="str">
        <f>IFERROR(INDEX('I2016'!E$5:E$90,MATCH($C144,'I2016'!$A$5:$A$90,0)),"")</f>
        <v/>
      </c>
      <c r="T144" s="102" t="str">
        <f>IFERROR(INDEX('I2016'!F$5:F$90,MATCH($C144,'I2016'!$A$5:$A$90,0)),"")</f>
        <v/>
      </c>
      <c r="U144" s="102" t="str">
        <f>IFERROR(INDEX('I2016'!G$5:G$90,MATCH($C144,'I2016'!$A$5:$A$90,0)),"")</f>
        <v/>
      </c>
      <c r="V144" s="102" t="str">
        <f>IFERROR(INDEX('I2016'!H$5:H$90,MATCH($C144,'I2016'!$A$5:$A$90,0)),"")</f>
        <v/>
      </c>
      <c r="W144" s="102" t="str">
        <f>IFERROR(INDEX('I2016'!I$5:I$90,MATCH($C144,'I2016'!$A$5:$A$90,0)),"")</f>
        <v/>
      </c>
      <c r="X144" s="102" t="str">
        <f>IFERROR(INDEX('I2016'!J$5:J$90,MATCH($C144,'I2016'!$A$5:$A$90,0)),"")</f>
        <v/>
      </c>
      <c r="Y144" s="102" t="str">
        <f>IFERROR(INDEX('I2016'!K$5:K$90,MATCH($C144,'I2016'!$A$5:$A$90,0)),"")</f>
        <v/>
      </c>
      <c r="Z144" s="102" t="str">
        <f>IFERROR(INDEX('I2016'!L$5:L$90,MATCH($C144,'I2016'!$A$5:$A$90,0)),"")</f>
        <v/>
      </c>
      <c r="AA144" s="102" t="str">
        <f>IFERROR(INDEX('I2016'!M$5:M$90,MATCH($C144,'I2016'!$A$5:$A$90,0)),"")</f>
        <v/>
      </c>
      <c r="AB144" s="102" t="str">
        <f>IFERROR(INDEX('I2017'!B$5:B$96,MATCH($C144,'I2017'!$A$5:$A$96,0)),"")</f>
        <v/>
      </c>
      <c r="AC144" s="102" t="str">
        <f>IFERROR(INDEX('I2017'!C$5:C$96,MATCH($C144,'I2017'!$A$5:$A$96,0)),"")</f>
        <v/>
      </c>
      <c r="AD144" s="102" t="str">
        <f>IFERROR(INDEX('I2017'!D$5:D$96,MATCH($C144,'I2017'!$A$5:$A$96,0)),"")</f>
        <v/>
      </c>
      <c r="AE144" s="102" t="str">
        <f>IFERROR(INDEX('I2017'!E$5:E$96,MATCH($C144,'I2017'!$A$5:$A$96,0)),"")</f>
        <v/>
      </c>
      <c r="AF144" s="102" t="str">
        <f>IFERROR(INDEX('I2017'!F$5:F$96,MATCH($C144,'I2017'!$A$5:$A$96,0)),"")</f>
        <v/>
      </c>
      <c r="AG144" s="102" t="str">
        <f>IFERROR(INDEX('I2017'!G$5:G$96,MATCH($C144,'I2017'!$A$5:$A$96,0)),"")</f>
        <v/>
      </c>
      <c r="AH144" s="102" t="str">
        <f>IFERROR(INDEX('I2017'!H$5:H$96,MATCH($C144,'I2017'!$A$5:$A$96,0)),"")</f>
        <v/>
      </c>
      <c r="AI144" s="102" t="str">
        <f>IFERROR(INDEX('I2017'!I$5:I$96,MATCH($C144,'I2017'!$A$5:$A$96,0)),"")</f>
        <v/>
      </c>
      <c r="AJ144" s="102" t="str">
        <f>IFERROR(INDEX('I2017'!J$5:J$96,MATCH($C144,'I2017'!$A$5:$A$96,0)),"")</f>
        <v/>
      </c>
      <c r="AK144" s="102" t="str">
        <f>IFERROR(INDEX('I2017'!K$5:K$96,MATCH($C144,'I2017'!$A$5:$A$96,0)),"")</f>
        <v/>
      </c>
      <c r="AL144" s="102" t="str">
        <f>IFERROR(INDEX('I2017'!L$5:L$96,MATCH($C144,'I2017'!$A$5:$A$96,0)),"")</f>
        <v/>
      </c>
      <c r="AM144" s="102" t="str">
        <f>IFERROR(INDEX('I2017'!M$5:M$96,MATCH($C144,'I2017'!$A$5:$A$96,0)),"")</f>
        <v/>
      </c>
      <c r="AN144" s="102" t="str">
        <f>IFERROR(INDEX('I2018'!B$5:B$107,MATCH($C144,'I2018'!$A$5:$A$107,0)),"")</f>
        <v/>
      </c>
      <c r="AO144" s="102" t="str">
        <f>IFERROR(INDEX('I2018'!C$5:C$107,MATCH($C144,'I2018'!$A$5:$A$107,0)),"")</f>
        <v/>
      </c>
      <c r="AP144" s="102" t="str">
        <f>IFERROR(INDEX('I2018'!D$5:D$107,MATCH($C144,'I2018'!$A$5:$A$107,0)),"")</f>
        <v/>
      </c>
      <c r="AQ144" s="102" t="str">
        <f>IFERROR(INDEX('I2018'!E$5:E$107,MATCH($C144,'I2018'!$A$5:$A$107,0)),"")</f>
        <v/>
      </c>
      <c r="AR144" s="102" t="str">
        <f>IFERROR(INDEX('I2018'!F$5:F$107,MATCH($C144,'I2018'!$A$5:$A$107,0)),"")</f>
        <v/>
      </c>
      <c r="AS144" s="102" t="str">
        <f>IFERROR(INDEX('I2018'!G$5:G$107,MATCH($C144,'I2018'!$A$5:$A$107,0)),"")</f>
        <v/>
      </c>
      <c r="AT144" s="102" t="str">
        <f>IFERROR(INDEX('I2018'!H$5:H$107,MATCH($C144,'I2018'!$A$5:$A$107,0)),"")</f>
        <v/>
      </c>
      <c r="AU144" s="102" t="str">
        <f>IFERROR(INDEX('I2018'!I$5:I$107,MATCH($C144,'I2018'!$A$5:$A$107,0)),"")</f>
        <v/>
      </c>
      <c r="AV144" s="102" t="str">
        <f>IFERROR(INDEX('I2018'!J$5:J$107,MATCH($C144,'I2018'!$A$5:$A$107,0)),"")</f>
        <v/>
      </c>
      <c r="AW144" s="102" t="str">
        <f>IFERROR(INDEX('I2018'!K$5:K$107,MATCH($C144,'I2018'!$A$5:$A$107,0)),"")</f>
        <v/>
      </c>
      <c r="AX144" s="102" t="str">
        <f>IFERROR(INDEX('I2018'!L$5:L$107,MATCH($C144,'I2018'!$A$5:$A$107,0)),"")</f>
        <v/>
      </c>
      <c r="AY144" s="102" t="str">
        <f>IFERROR(INDEX('I2018'!M$5:M$107,MATCH($C144,'I2018'!$A$5:$A$107,0)),"")</f>
        <v/>
      </c>
      <c r="AZ144" s="102" t="str">
        <f>IFERROR(INDEX('I2019'!B$5:B$112,MATCH($C144,'I2019'!$A$5:$A$112,0)),"")</f>
        <v/>
      </c>
      <c r="BA144" s="102" t="str">
        <f>IFERROR(INDEX('I2019'!C$5:C$112,MATCH($C144,'I2019'!$A$5:$A$112,0)),"")</f>
        <v/>
      </c>
      <c r="BB144" s="102" t="str">
        <f>IFERROR(INDEX('I2019'!D$5:D$112,MATCH($C144,'I2019'!$A$5:$A$112,0)),"")</f>
        <v/>
      </c>
      <c r="BC144" s="102" t="str">
        <f>IFERROR(INDEX('I2019'!E$5:E$112,MATCH($C144,'I2019'!$A$5:$A$112,0)),"")</f>
        <v/>
      </c>
      <c r="BD144" s="102" t="str">
        <f>IFERROR(INDEX('I2019'!F$5:F$112,MATCH($C144,'I2019'!$A$5:$A$112,0)),"")</f>
        <v/>
      </c>
      <c r="BE144" s="102" t="str">
        <f>IFERROR(INDEX('I2019'!G$5:G$112,MATCH($C144,'I2019'!$A$5:$A$112,0)),"")</f>
        <v/>
      </c>
      <c r="BF144" s="102" t="str">
        <f>IFERROR(INDEX('I2019'!H$5:H$112,MATCH($C144,'I2019'!$A$5:$A$112,0)),"")</f>
        <v/>
      </c>
      <c r="BG144" s="102" t="str">
        <f>IFERROR(INDEX('I2019'!I$5:I$112,MATCH($C144,'I2019'!$A$5:$A$112,0)),"")</f>
        <v/>
      </c>
      <c r="BH144" s="102" t="str">
        <f>IFERROR(INDEX('I2019'!J$5:J$112,MATCH($C144,'I2019'!$A$5:$A$112,0)),"")</f>
        <v/>
      </c>
      <c r="BI144" s="102" t="str">
        <f>IFERROR(INDEX('I2019'!K$5:K$112,MATCH($C144,'I2019'!$A$5:$A$112,0)),"")</f>
        <v/>
      </c>
      <c r="BJ144" s="102" t="str">
        <f>IFERROR(INDEX('I2019'!L$5:L$112,MATCH($C144,'I2019'!$A$5:$A$112,0)),"")</f>
        <v/>
      </c>
      <c r="BK144" s="102" t="str">
        <f>IFERROR(INDEX('I2019'!M$5:M$112,MATCH($C144,'I2019'!$A$5:$A$112,0)),"")</f>
        <v/>
      </c>
      <c r="BL144" s="102" t="str">
        <f>IFERROR(INDEX('I2020'!B$5:B$113,MATCH($C144,'I2020'!$A$5:$A$113,0)),"")</f>
        <v/>
      </c>
      <c r="BM144" s="102" t="str">
        <f>IFERROR(INDEX('I2020'!C$5:C$113,MATCH($C144,'I2020'!$A$5:$A$113,0)),"")</f>
        <v/>
      </c>
      <c r="BN144" s="102" t="str">
        <f>IFERROR(INDEX('I2020'!D$5:D$113,MATCH($C144,'I2020'!$A$5:$A$113,0)),"")</f>
        <v/>
      </c>
      <c r="BO144" s="102" t="str">
        <f>IFERROR(INDEX('I2020'!E$5:E$113,MATCH($C144,'I2020'!$A$5:$A$113,0)),"")</f>
        <v/>
      </c>
      <c r="BP144" s="102" t="str">
        <f>IFERROR(INDEX('I2020'!F$5:F$113,MATCH($C144,'I2020'!$A$5:$A$113,0)),"")</f>
        <v/>
      </c>
      <c r="BQ144" s="392" t="str">
        <f>IFERROR(INDEX('I2020'!G$5:G$113,MATCH($C144,'I2020'!$A$5:$A$113,0)),"")</f>
        <v/>
      </c>
      <c r="BR144" s="64"/>
      <c r="BS144" s="64"/>
      <c r="BT144" s="64"/>
      <c r="BU144" s="64"/>
      <c r="BV144" s="64"/>
      <c r="BW144" s="64"/>
      <c r="BX144" s="64"/>
      <c r="BY144" s="64"/>
      <c r="BZ144" s="64"/>
      <c r="CA144" s="64"/>
      <c r="CB144" s="64"/>
      <c r="CC144" s="64"/>
      <c r="CD144" s="64"/>
      <c r="CE144" s="64"/>
      <c r="CF144" s="64"/>
      <c r="CG144" s="64"/>
      <c r="CH144" s="64"/>
      <c r="CI144" s="124"/>
      <c r="CJ144" s="134"/>
    </row>
    <row r="145" spans="1:88" x14ac:dyDescent="0.3">
      <c r="A145" s="33"/>
      <c r="B145" s="68"/>
      <c r="C145" s="21" t="s">
        <v>101</v>
      </c>
      <c r="D145" s="102" t="str">
        <f>IFERROR(INDEX('I2015'!B$5:B$73,MATCH($C145,'I2015'!$A$5:$A$73,0)),"")</f>
        <v/>
      </c>
      <c r="E145" s="102" t="str">
        <f>IFERROR(INDEX('I2015'!C$5:C$73,MATCH($C145,'I2015'!$A$5:$A$73,0)),"")</f>
        <v/>
      </c>
      <c r="F145" s="102" t="str">
        <f>IFERROR(INDEX('I2015'!D$5:D$73,MATCH($C145,'I2015'!$A$5:$A$73,0)),"")</f>
        <v/>
      </c>
      <c r="G145" s="102" t="str">
        <f>IFERROR(INDEX('I2015'!E$5:E$73,MATCH($C145,'I2015'!$A$5:$A$73,0)),"")</f>
        <v/>
      </c>
      <c r="H145" s="102" t="str">
        <f>IFERROR(INDEX('I2015'!F$5:F$73,MATCH($C145,'I2015'!$A$5:$A$73,0)),"")</f>
        <v/>
      </c>
      <c r="I145" s="102" t="str">
        <f>IFERROR(INDEX('I2015'!G$5:G$73,MATCH($C145,'I2015'!$A$5:$A$73,0)),"")</f>
        <v/>
      </c>
      <c r="J145" s="102" t="str">
        <f>IFERROR(INDEX('I2015'!H$5:H$73,MATCH($C145,'I2015'!$A$5:$A$73,0)),"")</f>
        <v/>
      </c>
      <c r="K145" s="102" t="str">
        <f>IFERROR(INDEX('I2015'!I$5:I$73,MATCH($C145,'I2015'!$A$5:$A$73,0)),"")</f>
        <v/>
      </c>
      <c r="L145" s="102" t="str">
        <f>IFERROR(INDEX('I2015'!J$5:J$73,MATCH($C145,'I2015'!$A$5:$A$73,0)),"")</f>
        <v/>
      </c>
      <c r="M145" s="102" t="str">
        <f>IFERROR(INDEX('I2015'!K$5:K$73,MATCH($C145,'I2015'!$A$5:$A$73,0)),"")</f>
        <v/>
      </c>
      <c r="N145" s="102" t="str">
        <f>IFERROR(INDEX('I2015'!L$5:L$73,MATCH($C145,'I2015'!$A$5:$A$73,0)),"")</f>
        <v/>
      </c>
      <c r="O145" s="102" t="str">
        <f>IFERROR(INDEX('I2015'!M$5:M$73,MATCH($C145,'I2015'!$A$5:$A$73,0)),"")</f>
        <v/>
      </c>
      <c r="P145" s="102" t="str">
        <f>IFERROR(INDEX('I2016'!B$5:B$90,MATCH($C145,'I2016'!$A$5:$A$90,0)),"")</f>
        <v/>
      </c>
      <c r="Q145" s="102" t="str">
        <f>IFERROR(INDEX('I2016'!C$5:C$90,MATCH($C145,'I2016'!$A$5:$A$90,0)),"")</f>
        <v/>
      </c>
      <c r="R145" s="102" t="str">
        <f>IFERROR(INDEX('I2016'!D$5:D$90,MATCH($C145,'I2016'!$A$5:$A$90,0)),"")</f>
        <v/>
      </c>
      <c r="S145" s="102" t="str">
        <f>IFERROR(INDEX('I2016'!E$5:E$90,MATCH($C145,'I2016'!$A$5:$A$90,0)),"")</f>
        <v/>
      </c>
      <c r="T145" s="102" t="str">
        <f>IFERROR(INDEX('I2016'!F$5:F$90,MATCH($C145,'I2016'!$A$5:$A$90,0)),"")</f>
        <v/>
      </c>
      <c r="U145" s="102" t="str">
        <f>IFERROR(INDEX('I2016'!G$5:G$90,MATCH($C145,'I2016'!$A$5:$A$90,0)),"")</f>
        <v/>
      </c>
      <c r="V145" s="102" t="str">
        <f>IFERROR(INDEX('I2016'!H$5:H$90,MATCH($C145,'I2016'!$A$5:$A$90,0)),"")</f>
        <v/>
      </c>
      <c r="W145" s="102" t="str">
        <f>IFERROR(INDEX('I2016'!I$5:I$90,MATCH($C145,'I2016'!$A$5:$A$90,0)),"")</f>
        <v/>
      </c>
      <c r="X145" s="102" t="str">
        <f>IFERROR(INDEX('I2016'!J$5:J$90,MATCH($C145,'I2016'!$A$5:$A$90,0)),"")</f>
        <v/>
      </c>
      <c r="Y145" s="102" t="str">
        <f>IFERROR(INDEX('I2016'!K$5:K$90,MATCH($C145,'I2016'!$A$5:$A$90,0)),"")</f>
        <v/>
      </c>
      <c r="Z145" s="102" t="str">
        <f>IFERROR(INDEX('I2016'!L$5:L$90,MATCH($C145,'I2016'!$A$5:$A$90,0)),"")</f>
        <v/>
      </c>
      <c r="AA145" s="102" t="str">
        <f>IFERROR(INDEX('I2016'!M$5:M$90,MATCH($C145,'I2016'!$A$5:$A$90,0)),"")</f>
        <v/>
      </c>
      <c r="AB145" s="102" t="str">
        <f>IFERROR(INDEX('I2017'!B$5:B$96,MATCH($C145,'I2017'!$A$5:$A$96,0)),"")</f>
        <v/>
      </c>
      <c r="AC145" s="102" t="str">
        <f>IFERROR(INDEX('I2017'!C$5:C$96,MATCH($C145,'I2017'!$A$5:$A$96,0)),"")</f>
        <v/>
      </c>
      <c r="AD145" s="102" t="str">
        <f>IFERROR(INDEX('I2017'!D$5:D$96,MATCH($C145,'I2017'!$A$5:$A$96,0)),"")</f>
        <v/>
      </c>
      <c r="AE145" s="102" t="str">
        <f>IFERROR(INDEX('I2017'!E$5:E$96,MATCH($C145,'I2017'!$A$5:$A$96,0)),"")</f>
        <v/>
      </c>
      <c r="AF145" s="102" t="str">
        <f>IFERROR(INDEX('I2017'!F$5:F$96,MATCH($C145,'I2017'!$A$5:$A$96,0)),"")</f>
        <v/>
      </c>
      <c r="AG145" s="102" t="str">
        <f>IFERROR(INDEX('I2017'!G$5:G$96,MATCH($C145,'I2017'!$A$5:$A$96,0)),"")</f>
        <v/>
      </c>
      <c r="AH145" s="102" t="str">
        <f>IFERROR(INDEX('I2017'!H$5:H$96,MATCH($C145,'I2017'!$A$5:$A$96,0)),"")</f>
        <v/>
      </c>
      <c r="AI145" s="102" t="str">
        <f>IFERROR(INDEX('I2017'!I$5:I$96,MATCH($C145,'I2017'!$A$5:$A$96,0)),"")</f>
        <v/>
      </c>
      <c r="AJ145" s="102" t="str">
        <f>IFERROR(INDEX('I2017'!J$5:J$96,MATCH($C145,'I2017'!$A$5:$A$96,0)),"")</f>
        <v/>
      </c>
      <c r="AK145" s="102" t="str">
        <f>IFERROR(INDEX('I2017'!K$5:K$96,MATCH($C145,'I2017'!$A$5:$A$96,0)),"")</f>
        <v/>
      </c>
      <c r="AL145" s="102" t="str">
        <f>IFERROR(INDEX('I2017'!L$5:L$96,MATCH($C145,'I2017'!$A$5:$A$96,0)),"")</f>
        <v/>
      </c>
      <c r="AM145" s="102" t="str">
        <f>IFERROR(INDEX('I2017'!M$5:M$96,MATCH($C145,'I2017'!$A$5:$A$96,0)),"")</f>
        <v/>
      </c>
      <c r="AN145" s="102">
        <f>IFERROR(INDEX('I2018'!B$5:B$107,MATCH($C145,'I2018'!$A$5:$A$107,0)),"")</f>
        <v>0</v>
      </c>
      <c r="AO145" s="102">
        <f>IFERROR(INDEX('I2018'!C$5:C$107,MATCH($C145,'I2018'!$A$5:$A$107,0)),"")</f>
        <v>0</v>
      </c>
      <c r="AP145" s="102">
        <f>IFERROR(INDEX('I2018'!D$5:D$107,MATCH($C145,'I2018'!$A$5:$A$107,0)),"")</f>
        <v>0</v>
      </c>
      <c r="AQ145" s="102">
        <f>IFERROR(INDEX('I2018'!E$5:E$107,MATCH($C145,'I2018'!$A$5:$A$107,0)),"")</f>
        <v>0</v>
      </c>
      <c r="AR145" s="102">
        <f>IFERROR(INDEX('I2018'!F$5:F$107,MATCH($C145,'I2018'!$A$5:$A$107,0)),"")</f>
        <v>0</v>
      </c>
      <c r="AS145" s="102">
        <f>IFERROR(INDEX('I2018'!G$5:G$107,MATCH($C145,'I2018'!$A$5:$A$107,0)),"")</f>
        <v>0</v>
      </c>
      <c r="AT145" s="102">
        <f>IFERROR(INDEX('I2018'!H$5:H$107,MATCH($C145,'I2018'!$A$5:$A$107,0)),"")</f>
        <v>0</v>
      </c>
      <c r="AU145" s="102">
        <f>IFERROR(INDEX('I2018'!I$5:I$107,MATCH($C145,'I2018'!$A$5:$A$107,0)),"")</f>
        <v>0</v>
      </c>
      <c r="AV145" s="102">
        <f>IFERROR(INDEX('I2018'!J$5:J$107,MATCH($C145,'I2018'!$A$5:$A$107,0)),"")</f>
        <v>0</v>
      </c>
      <c r="AW145" s="102">
        <f>IFERROR(INDEX('I2018'!K$5:K$107,MATCH($C145,'I2018'!$A$5:$A$107,0)),"")</f>
        <v>379.4</v>
      </c>
      <c r="AX145" s="102">
        <f>IFERROR(INDEX('I2018'!L$5:L$107,MATCH($C145,'I2018'!$A$5:$A$107,0)),"")</f>
        <v>0</v>
      </c>
      <c r="AY145" s="102">
        <f>IFERROR(INDEX('I2018'!M$5:M$107,MATCH($C145,'I2018'!$A$5:$A$107,0)),"")</f>
        <v>0</v>
      </c>
      <c r="AZ145" s="102" t="str">
        <f>IFERROR(INDEX('I2019'!B$5:B$112,MATCH($C145,'I2019'!$A$5:$A$112,0)),"")</f>
        <v/>
      </c>
      <c r="BA145" s="102" t="str">
        <f>IFERROR(INDEX('I2019'!C$5:C$112,MATCH($C145,'I2019'!$A$5:$A$112,0)),"")</f>
        <v/>
      </c>
      <c r="BB145" s="102" t="str">
        <f>IFERROR(INDEX('I2019'!D$5:D$112,MATCH($C145,'I2019'!$A$5:$A$112,0)),"")</f>
        <v/>
      </c>
      <c r="BC145" s="102" t="str">
        <f>IFERROR(INDEX('I2019'!E$5:E$112,MATCH($C145,'I2019'!$A$5:$A$112,0)),"")</f>
        <v/>
      </c>
      <c r="BD145" s="102" t="str">
        <f>IFERROR(INDEX('I2019'!F$5:F$112,MATCH($C145,'I2019'!$A$5:$A$112,0)),"")</f>
        <v/>
      </c>
      <c r="BE145" s="102" t="str">
        <f>IFERROR(INDEX('I2019'!G$5:G$112,MATCH($C145,'I2019'!$A$5:$A$112,0)),"")</f>
        <v/>
      </c>
      <c r="BF145" s="102" t="str">
        <f>IFERROR(INDEX('I2019'!H$5:H$112,MATCH($C145,'I2019'!$A$5:$A$112,0)),"")</f>
        <v/>
      </c>
      <c r="BG145" s="102" t="str">
        <f>IFERROR(INDEX('I2019'!I$5:I$112,MATCH($C145,'I2019'!$A$5:$A$112,0)),"")</f>
        <v/>
      </c>
      <c r="BH145" s="102" t="str">
        <f>IFERROR(INDEX('I2019'!J$5:J$112,MATCH($C145,'I2019'!$A$5:$A$112,0)),"")</f>
        <v/>
      </c>
      <c r="BI145" s="102" t="str">
        <f>IFERROR(INDEX('I2019'!K$5:K$112,MATCH($C145,'I2019'!$A$5:$A$112,0)),"")</f>
        <v/>
      </c>
      <c r="BJ145" s="102" t="str">
        <f>IFERROR(INDEX('I2019'!L$5:L$112,MATCH($C145,'I2019'!$A$5:$A$112,0)),"")</f>
        <v/>
      </c>
      <c r="BK145" s="102" t="str">
        <f>IFERROR(INDEX('I2019'!M$5:M$112,MATCH($C145,'I2019'!$A$5:$A$112,0)),"")</f>
        <v/>
      </c>
      <c r="BL145" s="102" t="str">
        <f>IFERROR(INDEX('I2020'!B$5:B$113,MATCH($C145,'I2020'!$A$5:$A$113,0)),"")</f>
        <v/>
      </c>
      <c r="BM145" s="102" t="str">
        <f>IFERROR(INDEX('I2020'!C$5:C$113,MATCH($C145,'I2020'!$A$5:$A$113,0)),"")</f>
        <v/>
      </c>
      <c r="BN145" s="102" t="str">
        <f>IFERROR(INDEX('I2020'!D$5:D$113,MATCH($C145,'I2020'!$A$5:$A$113,0)),"")</f>
        <v/>
      </c>
      <c r="BO145" s="102" t="str">
        <f>IFERROR(INDEX('I2020'!E$5:E$113,MATCH($C145,'I2020'!$A$5:$A$113,0)),"")</f>
        <v/>
      </c>
      <c r="BP145" s="102" t="str">
        <f>IFERROR(INDEX('I2020'!F$5:F$113,MATCH($C145,'I2020'!$A$5:$A$113,0)),"")</f>
        <v/>
      </c>
      <c r="BQ145" s="392" t="str">
        <f>IFERROR(INDEX('I2020'!G$5:G$113,MATCH($C145,'I2020'!$A$5:$A$113,0)),"")</f>
        <v/>
      </c>
      <c r="BR145" s="64"/>
      <c r="BS145" s="64"/>
      <c r="BT145" s="64"/>
      <c r="BU145" s="64"/>
      <c r="BV145" s="64"/>
      <c r="BW145" s="64"/>
      <c r="BX145" s="64"/>
      <c r="BY145" s="64"/>
      <c r="BZ145" s="64"/>
      <c r="CA145" s="64"/>
      <c r="CB145" s="64"/>
      <c r="CC145" s="64"/>
      <c r="CD145" s="64"/>
      <c r="CE145" s="64"/>
      <c r="CF145" s="64"/>
      <c r="CG145" s="64"/>
      <c r="CH145" s="64"/>
      <c r="CI145" s="124"/>
      <c r="CJ145" s="134"/>
    </row>
    <row r="146" spans="1:88" x14ac:dyDescent="0.3">
      <c r="A146" s="33"/>
      <c r="B146" s="68"/>
      <c r="C146" s="21" t="s">
        <v>208</v>
      </c>
      <c r="D146" s="102" t="str">
        <f>IFERROR(INDEX('I2015'!B$5:B$73,MATCH($C146,'I2015'!$A$5:$A$73,0)),"")</f>
        <v/>
      </c>
      <c r="E146" s="102" t="str">
        <f>IFERROR(INDEX('I2015'!C$5:C$73,MATCH($C146,'I2015'!$A$5:$A$73,0)),"")</f>
        <v/>
      </c>
      <c r="F146" s="102" t="str">
        <f>IFERROR(INDEX('I2015'!D$5:D$73,MATCH($C146,'I2015'!$A$5:$A$73,0)),"")</f>
        <v/>
      </c>
      <c r="G146" s="102" t="str">
        <f>IFERROR(INDEX('I2015'!E$5:E$73,MATCH($C146,'I2015'!$A$5:$A$73,0)),"")</f>
        <v/>
      </c>
      <c r="H146" s="102" t="str">
        <f>IFERROR(INDEX('I2015'!F$5:F$73,MATCH($C146,'I2015'!$A$5:$A$73,0)),"")</f>
        <v/>
      </c>
      <c r="I146" s="102" t="str">
        <f>IFERROR(INDEX('I2015'!G$5:G$73,MATCH($C146,'I2015'!$A$5:$A$73,0)),"")</f>
        <v/>
      </c>
      <c r="J146" s="102" t="str">
        <f>IFERROR(INDEX('I2015'!H$5:H$73,MATCH($C146,'I2015'!$A$5:$A$73,0)),"")</f>
        <v/>
      </c>
      <c r="K146" s="102" t="str">
        <f>IFERROR(INDEX('I2015'!I$5:I$73,MATCH($C146,'I2015'!$A$5:$A$73,0)),"")</f>
        <v/>
      </c>
      <c r="L146" s="102" t="str">
        <f>IFERROR(INDEX('I2015'!J$5:J$73,MATCH($C146,'I2015'!$A$5:$A$73,0)),"")</f>
        <v/>
      </c>
      <c r="M146" s="102" t="str">
        <f>IFERROR(INDEX('I2015'!K$5:K$73,MATCH($C146,'I2015'!$A$5:$A$73,0)),"")</f>
        <v/>
      </c>
      <c r="N146" s="102" t="str">
        <f>IFERROR(INDEX('I2015'!L$5:L$73,MATCH($C146,'I2015'!$A$5:$A$73,0)),"")</f>
        <v/>
      </c>
      <c r="O146" s="102" t="str">
        <f>IFERROR(INDEX('I2015'!M$5:M$73,MATCH($C146,'I2015'!$A$5:$A$73,0)),"")</f>
        <v/>
      </c>
      <c r="P146" s="102" t="str">
        <f>IFERROR(INDEX('I2016'!B$5:B$90,MATCH($C146,'I2016'!$A$5:$A$90,0)),"")</f>
        <v/>
      </c>
      <c r="Q146" s="102" t="str">
        <f>IFERROR(INDEX('I2016'!C$5:C$90,MATCH($C146,'I2016'!$A$5:$A$90,0)),"")</f>
        <v/>
      </c>
      <c r="R146" s="102" t="str">
        <f>IFERROR(INDEX('I2016'!D$5:D$90,MATCH($C146,'I2016'!$A$5:$A$90,0)),"")</f>
        <v/>
      </c>
      <c r="S146" s="102" t="str">
        <f>IFERROR(INDEX('I2016'!E$5:E$90,MATCH($C146,'I2016'!$A$5:$A$90,0)),"")</f>
        <v/>
      </c>
      <c r="T146" s="102" t="str">
        <f>IFERROR(INDEX('I2016'!F$5:F$90,MATCH($C146,'I2016'!$A$5:$A$90,0)),"")</f>
        <v/>
      </c>
      <c r="U146" s="102" t="str">
        <f>IFERROR(INDEX('I2016'!G$5:G$90,MATCH($C146,'I2016'!$A$5:$A$90,0)),"")</f>
        <v/>
      </c>
      <c r="V146" s="102" t="str">
        <f>IFERROR(INDEX('I2016'!H$5:H$90,MATCH($C146,'I2016'!$A$5:$A$90,0)),"")</f>
        <v/>
      </c>
      <c r="W146" s="102" t="str">
        <f>IFERROR(INDEX('I2016'!I$5:I$90,MATCH($C146,'I2016'!$A$5:$A$90,0)),"")</f>
        <v/>
      </c>
      <c r="X146" s="102" t="str">
        <f>IFERROR(INDEX('I2016'!J$5:J$90,MATCH($C146,'I2016'!$A$5:$A$90,0)),"")</f>
        <v/>
      </c>
      <c r="Y146" s="102" t="str">
        <f>IFERROR(INDEX('I2016'!K$5:K$90,MATCH($C146,'I2016'!$A$5:$A$90,0)),"")</f>
        <v/>
      </c>
      <c r="Z146" s="102" t="str">
        <f>IFERROR(INDEX('I2016'!L$5:L$90,MATCH($C146,'I2016'!$A$5:$A$90,0)),"")</f>
        <v/>
      </c>
      <c r="AA146" s="102" t="str">
        <f>IFERROR(INDEX('I2016'!M$5:M$90,MATCH($C146,'I2016'!$A$5:$A$90,0)),"")</f>
        <v/>
      </c>
      <c r="AB146" s="102" t="str">
        <f>IFERROR(INDEX('I2017'!B$5:B$96,MATCH($C146,'I2017'!$A$5:$A$96,0)),"")</f>
        <v/>
      </c>
      <c r="AC146" s="102" t="str">
        <f>IFERROR(INDEX('I2017'!C$5:C$96,MATCH($C146,'I2017'!$A$5:$A$96,0)),"")</f>
        <v/>
      </c>
      <c r="AD146" s="102" t="str">
        <f>IFERROR(INDEX('I2017'!D$5:D$96,MATCH($C146,'I2017'!$A$5:$A$96,0)),"")</f>
        <v/>
      </c>
      <c r="AE146" s="102" t="str">
        <f>IFERROR(INDEX('I2017'!E$5:E$96,MATCH($C146,'I2017'!$A$5:$A$96,0)),"")</f>
        <v/>
      </c>
      <c r="AF146" s="102" t="str">
        <f>IFERROR(INDEX('I2017'!F$5:F$96,MATCH($C146,'I2017'!$A$5:$A$96,0)),"")</f>
        <v/>
      </c>
      <c r="AG146" s="102" t="str">
        <f>IFERROR(INDEX('I2017'!G$5:G$96,MATCH($C146,'I2017'!$A$5:$A$96,0)),"")</f>
        <v/>
      </c>
      <c r="AH146" s="102" t="str">
        <f>IFERROR(INDEX('I2017'!H$5:H$96,MATCH($C146,'I2017'!$A$5:$A$96,0)),"")</f>
        <v/>
      </c>
      <c r="AI146" s="102" t="str">
        <f>IFERROR(INDEX('I2017'!I$5:I$96,MATCH($C146,'I2017'!$A$5:$A$96,0)),"")</f>
        <v/>
      </c>
      <c r="AJ146" s="102" t="str">
        <f>IFERROR(INDEX('I2017'!J$5:J$96,MATCH($C146,'I2017'!$A$5:$A$96,0)),"")</f>
        <v/>
      </c>
      <c r="AK146" s="102" t="str">
        <f>IFERROR(INDEX('I2017'!K$5:K$96,MATCH($C146,'I2017'!$A$5:$A$96,0)),"")</f>
        <v/>
      </c>
      <c r="AL146" s="102" t="str">
        <f>IFERROR(INDEX('I2017'!L$5:L$96,MATCH($C146,'I2017'!$A$5:$A$96,0)),"")</f>
        <v/>
      </c>
      <c r="AM146" s="102" t="str">
        <f>IFERROR(INDEX('I2017'!M$5:M$96,MATCH($C146,'I2017'!$A$5:$A$96,0)),"")</f>
        <v/>
      </c>
      <c r="AN146" s="102" t="str">
        <f>IFERROR(INDEX('I2018'!B$5:B$107,MATCH($C146,'I2018'!$A$5:$A$107,0)),"")</f>
        <v/>
      </c>
      <c r="AO146" s="102" t="str">
        <f>IFERROR(INDEX('I2018'!C$5:C$107,MATCH($C146,'I2018'!$A$5:$A$107,0)),"")</f>
        <v/>
      </c>
      <c r="AP146" s="102" t="str">
        <f>IFERROR(INDEX('I2018'!D$5:D$107,MATCH($C146,'I2018'!$A$5:$A$107,0)),"")</f>
        <v/>
      </c>
      <c r="AQ146" s="102" t="str">
        <f>IFERROR(INDEX('I2018'!E$5:E$107,MATCH($C146,'I2018'!$A$5:$A$107,0)),"")</f>
        <v/>
      </c>
      <c r="AR146" s="102" t="str">
        <f>IFERROR(INDEX('I2018'!F$5:F$107,MATCH($C146,'I2018'!$A$5:$A$107,0)),"")</f>
        <v/>
      </c>
      <c r="AS146" s="102" t="str">
        <f>IFERROR(INDEX('I2018'!G$5:G$107,MATCH($C146,'I2018'!$A$5:$A$107,0)),"")</f>
        <v/>
      </c>
      <c r="AT146" s="102" t="str">
        <f>IFERROR(INDEX('I2018'!H$5:H$107,MATCH($C146,'I2018'!$A$5:$A$107,0)),"")</f>
        <v/>
      </c>
      <c r="AU146" s="102" t="str">
        <f>IFERROR(INDEX('I2018'!I$5:I$107,MATCH($C146,'I2018'!$A$5:$A$107,0)),"")</f>
        <v/>
      </c>
      <c r="AV146" s="102" t="str">
        <f>IFERROR(INDEX('I2018'!J$5:J$107,MATCH($C146,'I2018'!$A$5:$A$107,0)),"")</f>
        <v/>
      </c>
      <c r="AW146" s="102" t="str">
        <f>IFERROR(INDEX('I2018'!K$5:K$107,MATCH($C146,'I2018'!$A$5:$A$107,0)),"")</f>
        <v/>
      </c>
      <c r="AX146" s="102" t="str">
        <f>IFERROR(INDEX('I2018'!L$5:L$107,MATCH($C146,'I2018'!$A$5:$A$107,0)),"")</f>
        <v/>
      </c>
      <c r="AY146" s="102" t="str">
        <f>IFERROR(INDEX('I2018'!M$5:M$107,MATCH($C146,'I2018'!$A$5:$A$107,0)),"")</f>
        <v/>
      </c>
      <c r="AZ146" s="102">
        <f>IFERROR(INDEX('I2019'!B$5:B$112,MATCH($C146,'I2019'!$A$5:$A$112,0)),"")</f>
        <v>0</v>
      </c>
      <c r="BA146" s="102">
        <f>IFERROR(INDEX('I2019'!C$5:C$112,MATCH($C146,'I2019'!$A$5:$A$112,0)),"")</f>
        <v>0</v>
      </c>
      <c r="BB146" s="102">
        <f>IFERROR(INDEX('I2019'!D$5:D$112,MATCH($C146,'I2019'!$A$5:$A$112,0)),"")</f>
        <v>0</v>
      </c>
      <c r="BC146" s="102">
        <f>IFERROR(INDEX('I2019'!E$5:E$112,MATCH($C146,'I2019'!$A$5:$A$112,0)),"")</f>
        <v>140.83000000000001</v>
      </c>
      <c r="BD146" s="102">
        <f>IFERROR(INDEX('I2019'!F$5:F$112,MATCH($C146,'I2019'!$A$5:$A$112,0)),"")</f>
        <v>211.84</v>
      </c>
      <c r="BE146" s="102">
        <f>IFERROR(INDEX('I2019'!G$5:G$112,MATCH($C146,'I2019'!$A$5:$A$112,0)),"")</f>
        <v>205.04</v>
      </c>
      <c r="BF146" s="102">
        <f>IFERROR(INDEX('I2019'!H$5:H$112,MATCH($C146,'I2019'!$A$5:$A$112,0)),"")</f>
        <v>213.36</v>
      </c>
      <c r="BG146" s="102">
        <f>IFERROR(INDEX('I2019'!I$5:I$112,MATCH($C146,'I2019'!$A$5:$A$112,0)),"")</f>
        <v>329.45</v>
      </c>
      <c r="BH146" s="102">
        <f>IFERROR(INDEX('I2019'!J$5:J$112,MATCH($C146,'I2019'!$A$5:$A$112,0)),"")</f>
        <v>70.17</v>
      </c>
      <c r="BI146" s="102">
        <f>IFERROR(INDEX('I2019'!K$5:K$112,MATCH($C146,'I2019'!$A$5:$A$112,0)),"")</f>
        <v>440.98</v>
      </c>
      <c r="BJ146" s="102">
        <f>IFERROR(INDEX('I2019'!L$5:L$112,MATCH($C146,'I2019'!$A$5:$A$112,0)),"")</f>
        <v>147.30000000000001</v>
      </c>
      <c r="BK146" s="102">
        <f>IFERROR(INDEX('I2019'!M$5:M$112,MATCH($C146,'I2019'!$A$5:$A$112,0)),"")</f>
        <v>221.49</v>
      </c>
      <c r="BL146" s="102">
        <f>IFERROR(INDEX('I2020'!B$5:B$113,MATCH($C146,'I2020'!$A$5:$A$113,0)),"")</f>
        <v>483.39</v>
      </c>
      <c r="BM146" s="102">
        <f>IFERROR(INDEX('I2020'!C$5:C$113,MATCH($C146,'I2020'!$A$5:$A$113,0)),"")</f>
        <v>112.43</v>
      </c>
      <c r="BN146" s="102">
        <f>IFERROR(INDEX('I2020'!D$5:D$113,MATCH($C146,'I2020'!$A$5:$A$113,0)),"")</f>
        <v>220.11</v>
      </c>
      <c r="BO146" s="102">
        <f>IFERROR(INDEX('I2020'!E$5:E$113,MATCH($C146,'I2020'!$A$5:$A$113,0)),"")</f>
        <v>19.559999999999999</v>
      </c>
      <c r="BP146" s="102">
        <f>IFERROR(INDEX('I2020'!F$5:F$113,MATCH($C146,'I2020'!$A$5:$A$113,0)),"")</f>
        <v>75.27</v>
      </c>
      <c r="BQ146" s="392">
        <f>IFERROR(INDEX('I2020'!G$5:G$113,MATCH($C146,'I2020'!$A$5:$A$113,0)),"")</f>
        <v>174.03</v>
      </c>
      <c r="BR146" s="64">
        <f t="shared" ref="BQ146:CI149" si="104">AVERAGE(BF146:BQ146)</f>
        <v>208.96166666666667</v>
      </c>
      <c r="BS146" s="64">
        <f t="shared" si="104"/>
        <v>208.5951388888889</v>
      </c>
      <c r="BT146" s="64">
        <f t="shared" si="104"/>
        <v>198.52390046296296</v>
      </c>
      <c r="BU146" s="64">
        <f t="shared" si="104"/>
        <v>209.22005883487654</v>
      </c>
      <c r="BV146" s="64">
        <f t="shared" si="104"/>
        <v>189.9067304044496</v>
      </c>
      <c r="BW146" s="64">
        <f t="shared" si="104"/>
        <v>193.45729127148707</v>
      </c>
      <c r="BX146" s="64">
        <f t="shared" si="104"/>
        <v>191.12123221077763</v>
      </c>
      <c r="BY146" s="64">
        <f t="shared" si="104"/>
        <v>166.76550156167579</v>
      </c>
      <c r="BZ146" s="64">
        <f t="shared" si="104"/>
        <v>171.29346002514876</v>
      </c>
      <c r="CA146" s="64">
        <f t="shared" si="104"/>
        <v>167.22541502724451</v>
      </c>
      <c r="CB146" s="64">
        <f t="shared" si="104"/>
        <v>179.53086627951487</v>
      </c>
      <c r="CC146" s="64">
        <f t="shared" si="104"/>
        <v>188.21927180280781</v>
      </c>
      <c r="CD146" s="64">
        <f t="shared" si="104"/>
        <v>189.40171111970844</v>
      </c>
      <c r="CE146" s="64">
        <f t="shared" si="104"/>
        <v>187.77171482412859</v>
      </c>
      <c r="CF146" s="64">
        <f t="shared" si="104"/>
        <v>186.03642948539854</v>
      </c>
      <c r="CG146" s="64">
        <f t="shared" si="104"/>
        <v>184.99580690393483</v>
      </c>
      <c r="CH146" s="64">
        <f t="shared" si="104"/>
        <v>182.97711924302303</v>
      </c>
      <c r="CI146" s="124">
        <f t="shared" si="104"/>
        <v>182.39965164623746</v>
      </c>
      <c r="CJ146" s="134"/>
    </row>
    <row r="147" spans="1:88" x14ac:dyDescent="0.3">
      <c r="A147" s="33"/>
      <c r="B147" s="68"/>
      <c r="C147" s="21" t="s">
        <v>102</v>
      </c>
      <c r="D147" s="102" t="str">
        <f>IFERROR(INDEX('I2015'!B$5:B$73,MATCH($C147,'I2015'!$A$5:$A$73,0)),"")</f>
        <v/>
      </c>
      <c r="E147" s="102" t="str">
        <f>IFERROR(INDEX('I2015'!C$5:C$73,MATCH($C147,'I2015'!$A$5:$A$73,0)),"")</f>
        <v/>
      </c>
      <c r="F147" s="102" t="str">
        <f>IFERROR(INDEX('I2015'!D$5:D$73,MATCH($C147,'I2015'!$A$5:$A$73,0)),"")</f>
        <v/>
      </c>
      <c r="G147" s="102" t="str">
        <f>IFERROR(INDEX('I2015'!E$5:E$73,MATCH($C147,'I2015'!$A$5:$A$73,0)),"")</f>
        <v/>
      </c>
      <c r="H147" s="102" t="str">
        <f>IFERROR(INDEX('I2015'!F$5:F$73,MATCH($C147,'I2015'!$A$5:$A$73,0)),"")</f>
        <v/>
      </c>
      <c r="I147" s="102" t="str">
        <f>IFERROR(INDEX('I2015'!G$5:G$73,MATCH($C147,'I2015'!$A$5:$A$73,0)),"")</f>
        <v/>
      </c>
      <c r="J147" s="102" t="str">
        <f>IFERROR(INDEX('I2015'!H$5:H$73,MATCH($C147,'I2015'!$A$5:$A$73,0)),"")</f>
        <v/>
      </c>
      <c r="K147" s="102" t="str">
        <f>IFERROR(INDEX('I2015'!I$5:I$73,MATCH($C147,'I2015'!$A$5:$A$73,0)),"")</f>
        <v/>
      </c>
      <c r="L147" s="102" t="str">
        <f>IFERROR(INDEX('I2015'!J$5:J$73,MATCH($C147,'I2015'!$A$5:$A$73,0)),"")</f>
        <v/>
      </c>
      <c r="M147" s="102" t="str">
        <f>IFERROR(INDEX('I2015'!K$5:K$73,MATCH($C147,'I2015'!$A$5:$A$73,0)),"")</f>
        <v/>
      </c>
      <c r="N147" s="102" t="str">
        <f>IFERROR(INDEX('I2015'!L$5:L$73,MATCH($C147,'I2015'!$A$5:$A$73,0)),"")</f>
        <v/>
      </c>
      <c r="O147" s="102" t="str">
        <f>IFERROR(INDEX('I2015'!M$5:M$73,MATCH($C147,'I2015'!$A$5:$A$73,0)),"")</f>
        <v/>
      </c>
      <c r="P147" s="102" t="str">
        <f>IFERROR(INDEX('I2016'!B$5:B$90,MATCH($C147,'I2016'!$A$5:$A$90,0)),"")</f>
        <v/>
      </c>
      <c r="Q147" s="102" t="str">
        <f>IFERROR(INDEX('I2016'!C$5:C$90,MATCH($C147,'I2016'!$A$5:$A$90,0)),"")</f>
        <v/>
      </c>
      <c r="R147" s="102" t="str">
        <f>IFERROR(INDEX('I2016'!D$5:D$90,MATCH($C147,'I2016'!$A$5:$A$90,0)),"")</f>
        <v/>
      </c>
      <c r="S147" s="102" t="str">
        <f>IFERROR(INDEX('I2016'!E$5:E$90,MATCH($C147,'I2016'!$A$5:$A$90,0)),"")</f>
        <v/>
      </c>
      <c r="T147" s="102" t="str">
        <f>IFERROR(INDEX('I2016'!F$5:F$90,MATCH($C147,'I2016'!$A$5:$A$90,0)),"")</f>
        <v/>
      </c>
      <c r="U147" s="102" t="str">
        <f>IFERROR(INDEX('I2016'!G$5:G$90,MATCH($C147,'I2016'!$A$5:$A$90,0)),"")</f>
        <v/>
      </c>
      <c r="V147" s="102" t="str">
        <f>IFERROR(INDEX('I2016'!H$5:H$90,MATCH($C147,'I2016'!$A$5:$A$90,0)),"")</f>
        <v/>
      </c>
      <c r="W147" s="102" t="str">
        <f>IFERROR(INDEX('I2016'!I$5:I$90,MATCH($C147,'I2016'!$A$5:$A$90,0)),"")</f>
        <v/>
      </c>
      <c r="X147" s="102" t="str">
        <f>IFERROR(INDEX('I2016'!J$5:J$90,MATCH($C147,'I2016'!$A$5:$A$90,0)),"")</f>
        <v/>
      </c>
      <c r="Y147" s="102" t="str">
        <f>IFERROR(INDEX('I2016'!K$5:K$90,MATCH($C147,'I2016'!$A$5:$A$90,0)),"")</f>
        <v/>
      </c>
      <c r="Z147" s="102" t="str">
        <f>IFERROR(INDEX('I2016'!L$5:L$90,MATCH($C147,'I2016'!$A$5:$A$90,0)),"")</f>
        <v/>
      </c>
      <c r="AA147" s="102" t="str">
        <f>IFERROR(INDEX('I2016'!M$5:M$90,MATCH($C147,'I2016'!$A$5:$A$90,0)),"")</f>
        <v/>
      </c>
      <c r="AB147" s="102" t="str">
        <f>IFERROR(INDEX('I2017'!B$5:B$96,MATCH($C147,'I2017'!$A$5:$A$96,0)),"")</f>
        <v/>
      </c>
      <c r="AC147" s="102" t="str">
        <f>IFERROR(INDEX('I2017'!C$5:C$96,MATCH($C147,'I2017'!$A$5:$A$96,0)),"")</f>
        <v/>
      </c>
      <c r="AD147" s="102" t="str">
        <f>IFERROR(INDEX('I2017'!D$5:D$96,MATCH($C147,'I2017'!$A$5:$A$96,0)),"")</f>
        <v/>
      </c>
      <c r="AE147" s="102" t="str">
        <f>IFERROR(INDEX('I2017'!E$5:E$96,MATCH($C147,'I2017'!$A$5:$A$96,0)),"")</f>
        <v/>
      </c>
      <c r="AF147" s="102" t="str">
        <f>IFERROR(INDEX('I2017'!F$5:F$96,MATCH($C147,'I2017'!$A$5:$A$96,0)),"")</f>
        <v/>
      </c>
      <c r="AG147" s="102" t="str">
        <f>IFERROR(INDEX('I2017'!G$5:G$96,MATCH($C147,'I2017'!$A$5:$A$96,0)),"")</f>
        <v/>
      </c>
      <c r="AH147" s="102" t="str">
        <f>IFERROR(INDEX('I2017'!H$5:H$96,MATCH($C147,'I2017'!$A$5:$A$96,0)),"")</f>
        <v/>
      </c>
      <c r="AI147" s="102" t="str">
        <f>IFERROR(INDEX('I2017'!I$5:I$96,MATCH($C147,'I2017'!$A$5:$A$96,0)),"")</f>
        <v/>
      </c>
      <c r="AJ147" s="102" t="str">
        <f>IFERROR(INDEX('I2017'!J$5:J$96,MATCH($C147,'I2017'!$A$5:$A$96,0)),"")</f>
        <v/>
      </c>
      <c r="AK147" s="102" t="str">
        <f>IFERROR(INDEX('I2017'!K$5:K$96,MATCH($C147,'I2017'!$A$5:$A$96,0)),"")</f>
        <v/>
      </c>
      <c r="AL147" s="102" t="str">
        <f>IFERROR(INDEX('I2017'!L$5:L$96,MATCH($C147,'I2017'!$A$5:$A$96,0)),"")</f>
        <v/>
      </c>
      <c r="AM147" s="102" t="str">
        <f>IFERROR(INDEX('I2017'!M$5:M$96,MATCH($C147,'I2017'!$A$5:$A$96,0)),"")</f>
        <v/>
      </c>
      <c r="AN147" s="102">
        <f>IFERROR(INDEX('I2018'!B$5:B$107,MATCH($C147,'I2018'!$A$5:$A$107,0)),"")</f>
        <v>0</v>
      </c>
      <c r="AO147" s="102">
        <f>IFERROR(INDEX('I2018'!C$5:C$107,MATCH($C147,'I2018'!$A$5:$A$107,0)),"")</f>
        <v>0</v>
      </c>
      <c r="AP147" s="102">
        <f>IFERROR(INDEX('I2018'!D$5:D$107,MATCH($C147,'I2018'!$A$5:$A$107,0)),"")</f>
        <v>0</v>
      </c>
      <c r="AQ147" s="102">
        <f>IFERROR(INDEX('I2018'!E$5:E$107,MATCH($C147,'I2018'!$A$5:$A$107,0)),"")</f>
        <v>0</v>
      </c>
      <c r="AR147" s="102">
        <f>IFERROR(INDEX('I2018'!F$5:F$107,MATCH($C147,'I2018'!$A$5:$A$107,0)),"")</f>
        <v>0</v>
      </c>
      <c r="AS147" s="102">
        <f>IFERROR(INDEX('I2018'!G$5:G$107,MATCH($C147,'I2018'!$A$5:$A$107,0)),"")</f>
        <v>0</v>
      </c>
      <c r="AT147" s="102">
        <f>IFERROR(INDEX('I2018'!H$5:H$107,MATCH($C147,'I2018'!$A$5:$A$107,0)),"")</f>
        <v>1026.58</v>
      </c>
      <c r="AU147" s="102">
        <f>IFERROR(INDEX('I2018'!I$5:I$107,MATCH($C147,'I2018'!$A$5:$A$107,0)),"")</f>
        <v>0</v>
      </c>
      <c r="AV147" s="102">
        <f>IFERROR(INDEX('I2018'!J$5:J$107,MATCH($C147,'I2018'!$A$5:$A$107,0)),"")</f>
        <v>28.98</v>
      </c>
      <c r="AW147" s="102">
        <f>IFERROR(INDEX('I2018'!K$5:K$107,MATCH($C147,'I2018'!$A$5:$A$107,0)),"")</f>
        <v>0</v>
      </c>
      <c r="AX147" s="102">
        <f>IFERROR(INDEX('I2018'!L$5:L$107,MATCH($C147,'I2018'!$A$5:$A$107,0)),"")</f>
        <v>0</v>
      </c>
      <c r="AY147" s="102">
        <f>IFERROR(INDEX('I2018'!M$5:M$107,MATCH($C147,'I2018'!$A$5:$A$107,0)),"")</f>
        <v>0</v>
      </c>
      <c r="AZ147" s="102">
        <f>IFERROR(INDEX('I2019'!B$5:B$112,MATCH($C147,'I2019'!$A$5:$A$112,0)),"")</f>
        <v>0</v>
      </c>
      <c r="BA147" s="102">
        <f>IFERROR(INDEX('I2019'!C$5:C$112,MATCH($C147,'I2019'!$A$5:$A$112,0)),"")</f>
        <v>0</v>
      </c>
      <c r="BB147" s="102">
        <f>IFERROR(INDEX('I2019'!D$5:D$112,MATCH($C147,'I2019'!$A$5:$A$112,0)),"")</f>
        <v>0</v>
      </c>
      <c r="BC147" s="102">
        <f>IFERROR(INDEX('I2019'!E$5:E$112,MATCH($C147,'I2019'!$A$5:$A$112,0)),"")</f>
        <v>0</v>
      </c>
      <c r="BD147" s="102">
        <f>IFERROR(INDEX('I2019'!F$5:F$112,MATCH($C147,'I2019'!$A$5:$A$112,0)),"")</f>
        <v>0</v>
      </c>
      <c r="BE147" s="102">
        <f>IFERROR(INDEX('I2019'!G$5:G$112,MATCH($C147,'I2019'!$A$5:$A$112,0)),"")</f>
        <v>460.24</v>
      </c>
      <c r="BF147" s="102">
        <f>IFERROR(INDEX('I2019'!H$5:H$112,MATCH($C147,'I2019'!$A$5:$A$112,0)),"")</f>
        <v>0</v>
      </c>
      <c r="BG147" s="102">
        <f>IFERROR(INDEX('I2019'!I$5:I$112,MATCH($C147,'I2019'!$A$5:$A$112,0)),"")</f>
        <v>7265.49</v>
      </c>
      <c r="BH147" s="102">
        <f>IFERROR(INDEX('I2019'!J$5:J$112,MATCH($C147,'I2019'!$A$5:$A$112,0)),"")</f>
        <v>0</v>
      </c>
      <c r="BI147" s="102">
        <f>IFERROR(INDEX('I2019'!K$5:K$112,MATCH($C147,'I2019'!$A$5:$A$112,0)),"")</f>
        <v>1894.39</v>
      </c>
      <c r="BJ147" s="102">
        <f>IFERROR(INDEX('I2019'!L$5:L$112,MATCH($C147,'I2019'!$A$5:$A$112,0)),"")</f>
        <v>1122.43</v>
      </c>
      <c r="BK147" s="102">
        <f>IFERROR(INDEX('I2019'!M$5:M$112,MATCH($C147,'I2019'!$A$5:$A$112,0)),"")</f>
        <v>2628.61</v>
      </c>
      <c r="BL147" s="102">
        <f>IFERROR(INDEX('I2020'!B$5:B$113,MATCH($C147,'I2020'!$A$5:$A$113,0)),"")</f>
        <v>1860.69</v>
      </c>
      <c r="BM147" s="102">
        <f>IFERROR(INDEX('I2020'!C$5:C$113,MATCH($C147,'I2020'!$A$5:$A$113,0)),"")</f>
        <v>184.03</v>
      </c>
      <c r="BN147" s="102">
        <f>IFERROR(INDEX('I2020'!D$5:D$113,MATCH($C147,'I2020'!$A$5:$A$113,0)),"")</f>
        <v>157.59</v>
      </c>
      <c r="BO147" s="102">
        <f>IFERROR(INDEX('I2020'!E$5:E$113,MATCH($C147,'I2020'!$A$5:$A$113,0)),"")</f>
        <v>2149.9899999999998</v>
      </c>
      <c r="BP147" s="102">
        <f>IFERROR(INDEX('I2020'!F$5:F$113,MATCH($C147,'I2020'!$A$5:$A$113,0)),"")</f>
        <v>16288.33</v>
      </c>
      <c r="BQ147" s="392">
        <f>IFERROR(INDEX('I2020'!G$5:G$113,MATCH($C147,'I2020'!$A$5:$A$113,0)),"")</f>
        <v>10000</v>
      </c>
      <c r="BR147" s="64">
        <f t="shared" si="104"/>
        <v>3629.2958333333336</v>
      </c>
      <c r="BS147" s="64">
        <f t="shared" si="104"/>
        <v>3931.7371527777782</v>
      </c>
      <c r="BT147" s="64">
        <f t="shared" si="104"/>
        <v>3653.9244155092597</v>
      </c>
      <c r="BU147" s="64">
        <f t="shared" si="104"/>
        <v>3958.418116801698</v>
      </c>
      <c r="BV147" s="64">
        <f t="shared" si="104"/>
        <v>4130.4204598685055</v>
      </c>
      <c r="BW147" s="64">
        <f t="shared" si="104"/>
        <v>4381.0863315242141</v>
      </c>
      <c r="BX147" s="64">
        <f t="shared" si="104"/>
        <v>4527.1260258178982</v>
      </c>
      <c r="BY147" s="64">
        <f t="shared" si="104"/>
        <v>4749.3290279693902</v>
      </c>
      <c r="BZ147" s="64">
        <f t="shared" si="104"/>
        <v>5129.7706136335064</v>
      </c>
      <c r="CA147" s="64">
        <f t="shared" si="104"/>
        <v>5544.1189981029647</v>
      </c>
      <c r="CB147" s="64">
        <f t="shared" si="104"/>
        <v>5826.9630812782116</v>
      </c>
      <c r="CC147" s="64">
        <f t="shared" si="104"/>
        <v>4955.1825047180637</v>
      </c>
      <c r="CD147" s="64">
        <f t="shared" si="104"/>
        <v>4534.7810467779018</v>
      </c>
      <c r="CE147" s="64">
        <f t="shared" si="104"/>
        <v>4610.2381478982825</v>
      </c>
      <c r="CF147" s="64">
        <f t="shared" si="104"/>
        <v>4666.7798974916586</v>
      </c>
      <c r="CG147" s="64">
        <f t="shared" si="104"/>
        <v>4751.1845209901921</v>
      </c>
      <c r="CH147" s="64">
        <f t="shared" si="104"/>
        <v>4817.248388005899</v>
      </c>
      <c r="CI147" s="124">
        <f t="shared" si="104"/>
        <v>4874.4840486840158</v>
      </c>
      <c r="CJ147" s="134"/>
    </row>
    <row r="148" spans="1:88" x14ac:dyDescent="0.3">
      <c r="A148" s="33"/>
      <c r="B148" s="68"/>
      <c r="C148" s="21" t="s">
        <v>209</v>
      </c>
      <c r="D148" s="102" t="str">
        <f>IFERROR(INDEX('I2015'!B$5:B$73,MATCH($C148,'I2015'!$A$5:$A$73,0)),"")</f>
        <v/>
      </c>
      <c r="E148" s="102" t="str">
        <f>IFERROR(INDEX('I2015'!C$5:C$73,MATCH($C148,'I2015'!$A$5:$A$73,0)),"")</f>
        <v/>
      </c>
      <c r="F148" s="102" t="str">
        <f>IFERROR(INDEX('I2015'!D$5:D$73,MATCH($C148,'I2015'!$A$5:$A$73,0)),"")</f>
        <v/>
      </c>
      <c r="G148" s="102" t="str">
        <f>IFERROR(INDEX('I2015'!E$5:E$73,MATCH($C148,'I2015'!$A$5:$A$73,0)),"")</f>
        <v/>
      </c>
      <c r="H148" s="102" t="str">
        <f>IFERROR(INDEX('I2015'!F$5:F$73,MATCH($C148,'I2015'!$A$5:$A$73,0)),"")</f>
        <v/>
      </c>
      <c r="I148" s="102" t="str">
        <f>IFERROR(INDEX('I2015'!G$5:G$73,MATCH($C148,'I2015'!$A$5:$A$73,0)),"")</f>
        <v/>
      </c>
      <c r="J148" s="102" t="str">
        <f>IFERROR(INDEX('I2015'!H$5:H$73,MATCH($C148,'I2015'!$A$5:$A$73,0)),"")</f>
        <v/>
      </c>
      <c r="K148" s="102" t="str">
        <f>IFERROR(INDEX('I2015'!I$5:I$73,MATCH($C148,'I2015'!$A$5:$A$73,0)),"")</f>
        <v/>
      </c>
      <c r="L148" s="102" t="str">
        <f>IFERROR(INDEX('I2015'!J$5:J$73,MATCH($C148,'I2015'!$A$5:$A$73,0)),"")</f>
        <v/>
      </c>
      <c r="M148" s="102" t="str">
        <f>IFERROR(INDEX('I2015'!K$5:K$73,MATCH($C148,'I2015'!$A$5:$A$73,0)),"")</f>
        <v/>
      </c>
      <c r="N148" s="102" t="str">
        <f>IFERROR(INDEX('I2015'!L$5:L$73,MATCH($C148,'I2015'!$A$5:$A$73,0)),"")</f>
        <v/>
      </c>
      <c r="O148" s="102" t="str">
        <f>IFERROR(INDEX('I2015'!M$5:M$73,MATCH($C148,'I2015'!$A$5:$A$73,0)),"")</f>
        <v/>
      </c>
      <c r="P148" s="102" t="str">
        <f>IFERROR(INDEX('I2016'!B$5:B$90,MATCH($C148,'I2016'!$A$5:$A$90,0)),"")</f>
        <v/>
      </c>
      <c r="Q148" s="102" t="str">
        <f>IFERROR(INDEX('I2016'!C$5:C$90,MATCH($C148,'I2016'!$A$5:$A$90,0)),"")</f>
        <v/>
      </c>
      <c r="R148" s="102" t="str">
        <f>IFERROR(INDEX('I2016'!D$5:D$90,MATCH($C148,'I2016'!$A$5:$A$90,0)),"")</f>
        <v/>
      </c>
      <c r="S148" s="102" t="str">
        <f>IFERROR(INDEX('I2016'!E$5:E$90,MATCH($C148,'I2016'!$A$5:$A$90,0)),"")</f>
        <v/>
      </c>
      <c r="T148" s="102" t="str">
        <f>IFERROR(INDEX('I2016'!F$5:F$90,MATCH($C148,'I2016'!$A$5:$A$90,0)),"")</f>
        <v/>
      </c>
      <c r="U148" s="102" t="str">
        <f>IFERROR(INDEX('I2016'!G$5:G$90,MATCH($C148,'I2016'!$A$5:$A$90,0)),"")</f>
        <v/>
      </c>
      <c r="V148" s="102" t="str">
        <f>IFERROR(INDEX('I2016'!H$5:H$90,MATCH($C148,'I2016'!$A$5:$A$90,0)),"")</f>
        <v/>
      </c>
      <c r="W148" s="102" t="str">
        <f>IFERROR(INDEX('I2016'!I$5:I$90,MATCH($C148,'I2016'!$A$5:$A$90,0)),"")</f>
        <v/>
      </c>
      <c r="X148" s="102" t="str">
        <f>IFERROR(INDEX('I2016'!J$5:J$90,MATCH($C148,'I2016'!$A$5:$A$90,0)),"")</f>
        <v/>
      </c>
      <c r="Y148" s="102" t="str">
        <f>IFERROR(INDEX('I2016'!K$5:K$90,MATCH($C148,'I2016'!$A$5:$A$90,0)),"")</f>
        <v/>
      </c>
      <c r="Z148" s="102" t="str">
        <f>IFERROR(INDEX('I2016'!L$5:L$90,MATCH($C148,'I2016'!$A$5:$A$90,0)),"")</f>
        <v/>
      </c>
      <c r="AA148" s="102" t="str">
        <f>IFERROR(INDEX('I2016'!M$5:M$90,MATCH($C148,'I2016'!$A$5:$A$90,0)),"")</f>
        <v/>
      </c>
      <c r="AB148" s="102" t="str">
        <f>IFERROR(INDEX('I2017'!B$5:B$96,MATCH($C148,'I2017'!$A$5:$A$96,0)),"")</f>
        <v/>
      </c>
      <c r="AC148" s="102" t="str">
        <f>IFERROR(INDEX('I2017'!C$5:C$96,MATCH($C148,'I2017'!$A$5:$A$96,0)),"")</f>
        <v/>
      </c>
      <c r="AD148" s="102" t="str">
        <f>IFERROR(INDEX('I2017'!D$5:D$96,MATCH($C148,'I2017'!$A$5:$A$96,0)),"")</f>
        <v/>
      </c>
      <c r="AE148" s="102" t="str">
        <f>IFERROR(INDEX('I2017'!E$5:E$96,MATCH($C148,'I2017'!$A$5:$A$96,0)),"")</f>
        <v/>
      </c>
      <c r="AF148" s="102" t="str">
        <f>IFERROR(INDEX('I2017'!F$5:F$96,MATCH($C148,'I2017'!$A$5:$A$96,0)),"")</f>
        <v/>
      </c>
      <c r="AG148" s="102" t="str">
        <f>IFERROR(INDEX('I2017'!G$5:G$96,MATCH($C148,'I2017'!$A$5:$A$96,0)),"")</f>
        <v/>
      </c>
      <c r="AH148" s="102" t="str">
        <f>IFERROR(INDEX('I2017'!H$5:H$96,MATCH($C148,'I2017'!$A$5:$A$96,0)),"")</f>
        <v/>
      </c>
      <c r="AI148" s="102" t="str">
        <f>IFERROR(INDEX('I2017'!I$5:I$96,MATCH($C148,'I2017'!$A$5:$A$96,0)),"")</f>
        <v/>
      </c>
      <c r="AJ148" s="102" t="str">
        <f>IFERROR(INDEX('I2017'!J$5:J$96,MATCH($C148,'I2017'!$A$5:$A$96,0)),"")</f>
        <v/>
      </c>
      <c r="AK148" s="102" t="str">
        <f>IFERROR(INDEX('I2017'!K$5:K$96,MATCH($C148,'I2017'!$A$5:$A$96,0)),"")</f>
        <v/>
      </c>
      <c r="AL148" s="102" t="str">
        <f>IFERROR(INDEX('I2017'!L$5:L$96,MATCH($C148,'I2017'!$A$5:$A$96,0)),"")</f>
        <v/>
      </c>
      <c r="AM148" s="102" t="str">
        <f>IFERROR(INDEX('I2017'!M$5:M$96,MATCH($C148,'I2017'!$A$5:$A$96,0)),"")</f>
        <v/>
      </c>
      <c r="AN148" s="102" t="str">
        <f>IFERROR(INDEX('I2018'!B$5:B$107,MATCH($C148,'I2018'!$A$5:$A$107,0)),"")</f>
        <v/>
      </c>
      <c r="AO148" s="102" t="str">
        <f>IFERROR(INDEX('I2018'!C$5:C$107,MATCH($C148,'I2018'!$A$5:$A$107,0)),"")</f>
        <v/>
      </c>
      <c r="AP148" s="102" t="str">
        <f>IFERROR(INDEX('I2018'!D$5:D$107,MATCH($C148,'I2018'!$A$5:$A$107,0)),"")</f>
        <v/>
      </c>
      <c r="AQ148" s="102" t="str">
        <f>IFERROR(INDEX('I2018'!E$5:E$107,MATCH($C148,'I2018'!$A$5:$A$107,0)),"")</f>
        <v/>
      </c>
      <c r="AR148" s="102" t="str">
        <f>IFERROR(INDEX('I2018'!F$5:F$107,MATCH($C148,'I2018'!$A$5:$A$107,0)),"")</f>
        <v/>
      </c>
      <c r="AS148" s="102" t="str">
        <f>IFERROR(INDEX('I2018'!G$5:G$107,MATCH($C148,'I2018'!$A$5:$A$107,0)),"")</f>
        <v/>
      </c>
      <c r="AT148" s="102" t="str">
        <f>IFERROR(INDEX('I2018'!H$5:H$107,MATCH($C148,'I2018'!$A$5:$A$107,0)),"")</f>
        <v/>
      </c>
      <c r="AU148" s="102" t="str">
        <f>IFERROR(INDEX('I2018'!I$5:I$107,MATCH($C148,'I2018'!$A$5:$A$107,0)),"")</f>
        <v/>
      </c>
      <c r="AV148" s="102" t="str">
        <f>IFERROR(INDEX('I2018'!J$5:J$107,MATCH($C148,'I2018'!$A$5:$A$107,0)),"")</f>
        <v/>
      </c>
      <c r="AW148" s="102" t="str">
        <f>IFERROR(INDEX('I2018'!K$5:K$107,MATCH($C148,'I2018'!$A$5:$A$107,0)),"")</f>
        <v/>
      </c>
      <c r="AX148" s="102" t="str">
        <f>IFERROR(INDEX('I2018'!L$5:L$107,MATCH($C148,'I2018'!$A$5:$A$107,0)),"")</f>
        <v/>
      </c>
      <c r="AY148" s="102" t="str">
        <f>IFERROR(INDEX('I2018'!M$5:M$107,MATCH($C148,'I2018'!$A$5:$A$107,0)),"")</f>
        <v/>
      </c>
      <c r="AZ148" s="102">
        <f>IFERROR(INDEX('I2019'!B$5:B$112,MATCH($C148,'I2019'!$A$5:$A$112,0)),"")</f>
        <v>0</v>
      </c>
      <c r="BA148" s="102">
        <f>IFERROR(INDEX('I2019'!C$5:C$112,MATCH($C148,'I2019'!$A$5:$A$112,0)),"")</f>
        <v>0</v>
      </c>
      <c r="BB148" s="102">
        <f>IFERROR(INDEX('I2019'!D$5:D$112,MATCH($C148,'I2019'!$A$5:$A$112,0)),"")</f>
        <v>0</v>
      </c>
      <c r="BC148" s="102">
        <f>IFERROR(INDEX('I2019'!E$5:E$112,MATCH($C148,'I2019'!$A$5:$A$112,0)),"")</f>
        <v>0</v>
      </c>
      <c r="BD148" s="102">
        <f>IFERROR(INDEX('I2019'!F$5:F$112,MATCH($C148,'I2019'!$A$5:$A$112,0)),"")</f>
        <v>0</v>
      </c>
      <c r="BE148" s="102">
        <f>IFERROR(INDEX('I2019'!G$5:G$112,MATCH($C148,'I2019'!$A$5:$A$112,0)),"")</f>
        <v>941.32</v>
      </c>
      <c r="BF148" s="102">
        <f>IFERROR(INDEX('I2019'!H$5:H$112,MATCH($C148,'I2019'!$A$5:$A$112,0)),"")</f>
        <v>0</v>
      </c>
      <c r="BG148" s="102">
        <f>IFERROR(INDEX('I2019'!I$5:I$112,MATCH($C148,'I2019'!$A$5:$A$112,0)),"")</f>
        <v>0</v>
      </c>
      <c r="BH148" s="102">
        <f>IFERROR(INDEX('I2019'!J$5:J$112,MATCH($C148,'I2019'!$A$5:$A$112,0)),"")</f>
        <v>388.72</v>
      </c>
      <c r="BI148" s="102">
        <f>IFERROR(INDEX('I2019'!K$5:K$112,MATCH($C148,'I2019'!$A$5:$A$112,0)),"")</f>
        <v>1444.94</v>
      </c>
      <c r="BJ148" s="102">
        <f>IFERROR(INDEX('I2019'!L$5:L$112,MATCH($C148,'I2019'!$A$5:$A$112,0)),"")</f>
        <v>194.36</v>
      </c>
      <c r="BK148" s="102">
        <f>IFERROR(INDEX('I2019'!M$5:M$112,MATCH($C148,'I2019'!$A$5:$A$112,0)),"")</f>
        <v>194.36</v>
      </c>
      <c r="BL148" s="102">
        <f>IFERROR(INDEX('I2020'!B$5:B$113,MATCH($C148,'I2020'!$A$5:$A$113,0)),"")</f>
        <v>194.36</v>
      </c>
      <c r="BM148" s="102">
        <f>IFERROR(INDEX('I2020'!C$5:C$113,MATCH($C148,'I2020'!$A$5:$A$113,0)),"")</f>
        <v>14851.66</v>
      </c>
      <c r="BN148" s="102">
        <f>IFERROR(INDEX('I2020'!D$5:D$113,MATCH($C148,'I2020'!$A$5:$A$113,0)),"")</f>
        <v>1409.9</v>
      </c>
      <c r="BO148" s="102">
        <f>IFERROR(INDEX('I2020'!E$5:E$113,MATCH($C148,'I2020'!$A$5:$A$113,0)),"")</f>
        <v>5842.73</v>
      </c>
      <c r="BP148" s="102">
        <f>IFERROR(INDEX('I2020'!F$5:F$113,MATCH($C148,'I2020'!$A$5:$A$113,0)),"")</f>
        <v>3308.1</v>
      </c>
      <c r="BQ148" s="392">
        <f>IFERROR(INDEX('I2020'!G$5:G$113,MATCH($C148,'I2020'!$A$5:$A$113,0)),"")</f>
        <v>1404.5</v>
      </c>
      <c r="BR148" s="64">
        <f t="shared" si="104"/>
        <v>2436.1358333333333</v>
      </c>
      <c r="BS148" s="64">
        <f t="shared" si="104"/>
        <v>2639.147152777778</v>
      </c>
      <c r="BT148" s="64">
        <f t="shared" si="104"/>
        <v>2859.0760821759263</v>
      </c>
      <c r="BU148" s="64">
        <f t="shared" si="104"/>
        <v>3064.9390890239197</v>
      </c>
      <c r="BV148" s="64">
        <f t="shared" si="104"/>
        <v>3199.9390131092464</v>
      </c>
      <c r="BW148" s="64">
        <f t="shared" si="104"/>
        <v>3450.40393086835</v>
      </c>
      <c r="BX148" s="64">
        <f t="shared" si="104"/>
        <v>3721.74092510738</v>
      </c>
      <c r="BY148" s="64">
        <f t="shared" si="104"/>
        <v>4015.6893355329944</v>
      </c>
      <c r="BZ148" s="64">
        <f t="shared" si="104"/>
        <v>3112.6917801607437</v>
      </c>
      <c r="CA148" s="64">
        <f t="shared" si="104"/>
        <v>3254.5910951741389</v>
      </c>
      <c r="CB148" s="64">
        <f t="shared" si="104"/>
        <v>3038.9128531053175</v>
      </c>
      <c r="CC148" s="64">
        <f t="shared" si="104"/>
        <v>3016.4805908640942</v>
      </c>
      <c r="CD148" s="64">
        <f t="shared" si="104"/>
        <v>3150.8123067694355</v>
      </c>
      <c r="CE148" s="64">
        <f t="shared" si="104"/>
        <v>3210.3686795557769</v>
      </c>
      <c r="CF148" s="64">
        <f t="shared" si="104"/>
        <v>3257.9704734539432</v>
      </c>
      <c r="CG148" s="64">
        <f t="shared" si="104"/>
        <v>3291.2116727271118</v>
      </c>
      <c r="CH148" s="64">
        <f t="shared" si="104"/>
        <v>3310.0677213690446</v>
      </c>
      <c r="CI148" s="124">
        <f t="shared" si="104"/>
        <v>3319.2451137240278</v>
      </c>
      <c r="CJ148" s="134"/>
    </row>
    <row r="149" spans="1:88" x14ac:dyDescent="0.3">
      <c r="A149" s="33"/>
      <c r="B149" s="68"/>
      <c r="C149" s="21" t="s">
        <v>210</v>
      </c>
      <c r="D149" s="22" t="str">
        <f>IFERROR(INDEX('I2015'!B$5:B$73,MATCH($C149,'I2015'!$A$5:$A$73,0)),"")</f>
        <v/>
      </c>
      <c r="E149" s="22" t="str">
        <f>IFERROR(INDEX('I2015'!C$5:C$73,MATCH($C149,'I2015'!$A$5:$A$73,0)),"")</f>
        <v/>
      </c>
      <c r="F149" s="22" t="str">
        <f>IFERROR(INDEX('I2015'!D$5:D$73,MATCH($C149,'I2015'!$A$5:$A$73,0)),"")</f>
        <v/>
      </c>
      <c r="G149" s="22" t="str">
        <f>IFERROR(INDEX('I2015'!E$5:E$73,MATCH($C149,'I2015'!$A$5:$A$73,0)),"")</f>
        <v/>
      </c>
      <c r="H149" s="22" t="str">
        <f>IFERROR(INDEX('I2015'!F$5:F$73,MATCH($C149,'I2015'!$A$5:$A$73,0)),"")</f>
        <v/>
      </c>
      <c r="I149" s="22" t="str">
        <f>IFERROR(INDEX('I2015'!G$5:G$73,MATCH($C149,'I2015'!$A$5:$A$73,0)),"")</f>
        <v/>
      </c>
      <c r="J149" s="22" t="str">
        <f>IFERROR(INDEX('I2015'!H$5:H$73,MATCH($C149,'I2015'!$A$5:$A$73,0)),"")</f>
        <v/>
      </c>
      <c r="K149" s="22" t="str">
        <f>IFERROR(INDEX('I2015'!I$5:I$73,MATCH($C149,'I2015'!$A$5:$A$73,0)),"")</f>
        <v/>
      </c>
      <c r="L149" s="22" t="str">
        <f>IFERROR(INDEX('I2015'!J$5:J$73,MATCH($C149,'I2015'!$A$5:$A$73,0)),"")</f>
        <v/>
      </c>
      <c r="M149" s="22" t="str">
        <f>IFERROR(INDEX('I2015'!K$5:K$73,MATCH($C149,'I2015'!$A$5:$A$73,0)),"")</f>
        <v/>
      </c>
      <c r="N149" s="22" t="str">
        <f>IFERROR(INDEX('I2015'!L$5:L$73,MATCH($C149,'I2015'!$A$5:$A$73,0)),"")</f>
        <v/>
      </c>
      <c r="O149" s="22" t="str">
        <f>IFERROR(INDEX('I2015'!M$5:M$73,MATCH($C149,'I2015'!$A$5:$A$73,0)),"")</f>
        <v/>
      </c>
      <c r="P149" s="22" t="str">
        <f>IFERROR(INDEX('I2016'!B$5:B$90,MATCH($C149,'I2016'!$A$5:$A$90,0)),"")</f>
        <v/>
      </c>
      <c r="Q149" s="22" t="str">
        <f>IFERROR(INDEX('I2016'!C$5:C$90,MATCH($C149,'I2016'!$A$5:$A$90,0)),"")</f>
        <v/>
      </c>
      <c r="R149" s="22" t="str">
        <f>IFERROR(INDEX('I2016'!D$5:D$90,MATCH($C149,'I2016'!$A$5:$A$90,0)),"")</f>
        <v/>
      </c>
      <c r="S149" s="22" t="str">
        <f>IFERROR(INDEX('I2016'!E$5:E$90,MATCH($C149,'I2016'!$A$5:$A$90,0)),"")</f>
        <v/>
      </c>
      <c r="T149" s="22" t="str">
        <f>IFERROR(INDEX('I2016'!F$5:F$90,MATCH($C149,'I2016'!$A$5:$A$90,0)),"")</f>
        <v/>
      </c>
      <c r="U149" s="22" t="str">
        <f>IFERROR(INDEX('I2016'!G$5:G$90,MATCH($C149,'I2016'!$A$5:$A$90,0)),"")</f>
        <v/>
      </c>
      <c r="V149" s="22" t="str">
        <f>IFERROR(INDEX('I2016'!H$5:H$90,MATCH($C149,'I2016'!$A$5:$A$90,0)),"")</f>
        <v/>
      </c>
      <c r="W149" s="22" t="str">
        <f>IFERROR(INDEX('I2016'!I$5:I$90,MATCH($C149,'I2016'!$A$5:$A$90,0)),"")</f>
        <v/>
      </c>
      <c r="X149" s="22" t="str">
        <f>IFERROR(INDEX('I2016'!J$5:J$90,MATCH($C149,'I2016'!$A$5:$A$90,0)),"")</f>
        <v/>
      </c>
      <c r="Y149" s="22" t="str">
        <f>IFERROR(INDEX('I2016'!K$5:K$90,MATCH($C149,'I2016'!$A$5:$A$90,0)),"")</f>
        <v/>
      </c>
      <c r="Z149" s="22" t="str">
        <f>IFERROR(INDEX('I2016'!L$5:L$90,MATCH($C149,'I2016'!$A$5:$A$90,0)),"")</f>
        <v/>
      </c>
      <c r="AA149" s="22" t="str">
        <f>IFERROR(INDEX('I2016'!M$5:M$90,MATCH($C149,'I2016'!$A$5:$A$90,0)),"")</f>
        <v/>
      </c>
      <c r="AB149" s="22" t="str">
        <f>IFERROR(INDEX('I2017'!B$5:B$96,MATCH($C149,'I2017'!$A$5:$A$96,0)),"")</f>
        <v/>
      </c>
      <c r="AC149" s="22" t="str">
        <f>IFERROR(INDEX('I2017'!C$5:C$96,MATCH($C149,'I2017'!$A$5:$A$96,0)),"")</f>
        <v/>
      </c>
      <c r="AD149" s="22" t="str">
        <f>IFERROR(INDEX('I2017'!D$5:D$96,MATCH($C149,'I2017'!$A$5:$A$96,0)),"")</f>
        <v/>
      </c>
      <c r="AE149" s="22" t="str">
        <f>IFERROR(INDEX('I2017'!E$5:E$96,MATCH($C149,'I2017'!$A$5:$A$96,0)),"")</f>
        <v/>
      </c>
      <c r="AF149" s="22" t="str">
        <f>IFERROR(INDEX('I2017'!F$5:F$96,MATCH($C149,'I2017'!$A$5:$A$96,0)),"")</f>
        <v/>
      </c>
      <c r="AG149" s="22" t="str">
        <f>IFERROR(INDEX('I2017'!G$5:G$96,MATCH($C149,'I2017'!$A$5:$A$96,0)),"")</f>
        <v/>
      </c>
      <c r="AH149" s="22" t="str">
        <f>IFERROR(INDEX('I2017'!H$5:H$96,MATCH($C149,'I2017'!$A$5:$A$96,0)),"")</f>
        <v/>
      </c>
      <c r="AI149" s="22" t="str">
        <f>IFERROR(INDEX('I2017'!I$5:I$96,MATCH($C149,'I2017'!$A$5:$A$96,0)),"")</f>
        <v/>
      </c>
      <c r="AJ149" s="22" t="str">
        <f>IFERROR(INDEX('I2017'!J$5:J$96,MATCH($C149,'I2017'!$A$5:$A$96,0)),"")</f>
        <v/>
      </c>
      <c r="AK149" s="22" t="str">
        <f>IFERROR(INDEX('I2017'!K$5:K$96,MATCH($C149,'I2017'!$A$5:$A$96,0)),"")</f>
        <v/>
      </c>
      <c r="AL149" s="22" t="str">
        <f>IFERROR(INDEX('I2017'!L$5:L$96,MATCH($C149,'I2017'!$A$5:$A$96,0)),"")</f>
        <v/>
      </c>
      <c r="AM149" s="22" t="str">
        <f>IFERROR(INDEX('I2017'!M$5:M$96,MATCH($C149,'I2017'!$A$5:$A$96,0)),"")</f>
        <v/>
      </c>
      <c r="AN149" s="22" t="str">
        <f>IFERROR(INDEX('I2018'!B$5:B$107,MATCH($C149,'I2018'!$A$5:$A$107,0)),"")</f>
        <v/>
      </c>
      <c r="AO149" s="22" t="str">
        <f>IFERROR(INDEX('I2018'!C$5:C$107,MATCH($C149,'I2018'!$A$5:$A$107,0)),"")</f>
        <v/>
      </c>
      <c r="AP149" s="22" t="str">
        <f>IFERROR(INDEX('I2018'!D$5:D$107,MATCH($C149,'I2018'!$A$5:$A$107,0)),"")</f>
        <v/>
      </c>
      <c r="AQ149" s="22" t="str">
        <f>IFERROR(INDEX('I2018'!E$5:E$107,MATCH($C149,'I2018'!$A$5:$A$107,0)),"")</f>
        <v/>
      </c>
      <c r="AR149" s="22" t="str">
        <f>IFERROR(INDEX('I2018'!F$5:F$107,MATCH($C149,'I2018'!$A$5:$A$107,0)),"")</f>
        <v/>
      </c>
      <c r="AS149" s="22" t="str">
        <f>IFERROR(INDEX('I2018'!G$5:G$107,MATCH($C149,'I2018'!$A$5:$A$107,0)),"")</f>
        <v/>
      </c>
      <c r="AT149" s="22" t="str">
        <f>IFERROR(INDEX('I2018'!H$5:H$107,MATCH($C149,'I2018'!$A$5:$A$107,0)),"")</f>
        <v/>
      </c>
      <c r="AU149" s="22" t="str">
        <f>IFERROR(INDEX('I2018'!I$5:I$107,MATCH($C149,'I2018'!$A$5:$A$107,0)),"")</f>
        <v/>
      </c>
      <c r="AV149" s="22" t="str">
        <f>IFERROR(INDEX('I2018'!J$5:J$107,MATCH($C149,'I2018'!$A$5:$A$107,0)),"")</f>
        <v/>
      </c>
      <c r="AW149" s="22" t="str">
        <f>IFERROR(INDEX('I2018'!K$5:K$107,MATCH($C149,'I2018'!$A$5:$A$107,0)),"")</f>
        <v/>
      </c>
      <c r="AX149" s="22" t="str">
        <f>IFERROR(INDEX('I2018'!L$5:L$107,MATCH($C149,'I2018'!$A$5:$A$107,0)),"")</f>
        <v/>
      </c>
      <c r="AY149" s="22" t="str">
        <f>IFERROR(INDEX('I2018'!M$5:M$107,MATCH($C149,'I2018'!$A$5:$A$107,0)),"")</f>
        <v/>
      </c>
      <c r="AZ149" s="22">
        <f>IFERROR(INDEX('I2019'!B$5:B$112,MATCH($C149,'I2019'!$A$5:$A$112,0)),"")</f>
        <v>0</v>
      </c>
      <c r="BA149" s="22">
        <f>IFERROR(INDEX('I2019'!C$5:C$112,MATCH($C149,'I2019'!$A$5:$A$112,0)),"")</f>
        <v>0</v>
      </c>
      <c r="BB149" s="22">
        <f>IFERROR(INDEX('I2019'!D$5:D$112,MATCH($C149,'I2019'!$A$5:$A$112,0)),"")</f>
        <v>0</v>
      </c>
      <c r="BC149" s="22">
        <f>IFERROR(INDEX('I2019'!E$5:E$112,MATCH($C149,'I2019'!$A$5:$A$112,0)),"")</f>
        <v>0</v>
      </c>
      <c r="BD149" s="22">
        <f>IFERROR(INDEX('I2019'!F$5:F$112,MATCH($C149,'I2019'!$A$5:$A$112,0)),"")</f>
        <v>0</v>
      </c>
      <c r="BE149" s="22">
        <f>IFERROR(INDEX('I2019'!G$5:G$112,MATCH($C149,'I2019'!$A$5:$A$112,0)),"")</f>
        <v>0</v>
      </c>
      <c r="BF149" s="22">
        <f>IFERROR(INDEX('I2019'!H$5:H$112,MATCH($C149,'I2019'!$A$5:$A$112,0)),"")</f>
        <v>0</v>
      </c>
      <c r="BG149" s="22">
        <f>IFERROR(INDEX('I2019'!I$5:I$112,MATCH($C149,'I2019'!$A$5:$A$112,0)),"")</f>
        <v>-164.3</v>
      </c>
      <c r="BH149" s="22">
        <f>IFERROR(INDEX('I2019'!J$5:J$112,MATCH($C149,'I2019'!$A$5:$A$112,0)),"")</f>
        <v>0</v>
      </c>
      <c r="BI149" s="22">
        <f>IFERROR(INDEX('I2019'!K$5:K$112,MATCH($C149,'I2019'!$A$5:$A$112,0)),"")</f>
        <v>164.3</v>
      </c>
      <c r="BJ149" s="22">
        <f>IFERROR(INDEX('I2019'!L$5:L$112,MATCH($C149,'I2019'!$A$5:$A$112,0)),"")</f>
        <v>0</v>
      </c>
      <c r="BK149" s="22">
        <f>IFERROR(INDEX('I2019'!M$5:M$112,MATCH($C149,'I2019'!$A$5:$A$112,0)),"")</f>
        <v>0</v>
      </c>
      <c r="BL149" s="22" t="str">
        <f>IFERROR(INDEX('I2020'!B$5:B$113,MATCH($C149,'I2020'!$A$5:$A$113,0)),"")</f>
        <v/>
      </c>
      <c r="BM149" s="22" t="str">
        <f>IFERROR(INDEX('I2020'!C$5:C$113,MATCH($C149,'I2020'!$A$5:$A$113,0)),"")</f>
        <v/>
      </c>
      <c r="BN149" s="22" t="str">
        <f>IFERROR(INDEX('I2020'!D$5:D$113,MATCH($C149,'I2020'!$A$5:$A$113,0)),"")</f>
        <v/>
      </c>
      <c r="BO149" s="22" t="str">
        <f>IFERROR(INDEX('I2020'!E$5:E$113,MATCH($C149,'I2020'!$A$5:$A$113,0)),"")</f>
        <v/>
      </c>
      <c r="BP149" s="22" t="str">
        <f>IFERROR(INDEX('I2020'!F$5:F$113,MATCH($C149,'I2020'!$A$5:$A$113,0)),"")</f>
        <v/>
      </c>
      <c r="BQ149" s="393" t="str">
        <f>IFERROR(INDEX('I2020'!G$5:G$113,MATCH($C149,'I2020'!$A$5:$A$113,0)),"")</f>
        <v/>
      </c>
      <c r="BR149" s="65">
        <f t="shared" si="104"/>
        <v>0</v>
      </c>
      <c r="BS149" s="65">
        <f t="shared" si="104"/>
        <v>0</v>
      </c>
      <c r="BT149" s="65">
        <f t="shared" si="104"/>
        <v>27.383333333333336</v>
      </c>
      <c r="BU149" s="65">
        <f t="shared" si="104"/>
        <v>31.947222222222223</v>
      </c>
      <c r="BV149" s="65">
        <f t="shared" si="104"/>
        <v>9.8884259259259277</v>
      </c>
      <c r="BW149" s="65">
        <f t="shared" si="104"/>
        <v>11.536496913580249</v>
      </c>
      <c r="BX149" s="65">
        <f t="shared" si="104"/>
        <v>13.459246399176957</v>
      </c>
      <c r="BY149" s="65">
        <f t="shared" si="104"/>
        <v>13.459246399176958</v>
      </c>
      <c r="BZ149" s="65">
        <f t="shared" si="104"/>
        <v>13.459246399176958</v>
      </c>
      <c r="CA149" s="65">
        <f t="shared" si="104"/>
        <v>13.459246399176958</v>
      </c>
      <c r="CB149" s="65">
        <f t="shared" si="104"/>
        <v>13.459246399176958</v>
      </c>
      <c r="CC149" s="65">
        <f t="shared" si="104"/>
        <v>13.459246399176958</v>
      </c>
      <c r="CD149" s="65">
        <f t="shared" si="104"/>
        <v>13.459246399176957</v>
      </c>
      <c r="CE149" s="65">
        <f t="shared" si="104"/>
        <v>14.580850265775036</v>
      </c>
      <c r="CF149" s="65">
        <f t="shared" si="104"/>
        <v>15.79592112125629</v>
      </c>
      <c r="CG149" s="65">
        <f t="shared" si="104"/>
        <v>14.830303436916537</v>
      </c>
      <c r="CH149" s="65">
        <f t="shared" si="104"/>
        <v>13.403893538141062</v>
      </c>
      <c r="CI149" s="125">
        <f t="shared" si="104"/>
        <v>13.696849172492326</v>
      </c>
      <c r="CJ149" s="134"/>
    </row>
    <row r="150" spans="1:88" x14ac:dyDescent="0.3">
      <c r="A150" s="33"/>
      <c r="B150" s="68"/>
      <c r="C150" s="82" t="s">
        <v>259</v>
      </c>
      <c r="D150" s="100" t="str">
        <f>IFERROR(INDEX('I2015'!B$5:B$73,MATCH($C150,'I2015'!$A$5:$A$73,0)),"")</f>
        <v/>
      </c>
      <c r="E150" s="100" t="str">
        <f>IFERROR(INDEX('I2015'!C$5:C$73,MATCH($C150,'I2015'!$A$5:$A$73,0)),"")</f>
        <v/>
      </c>
      <c r="F150" s="100" t="str">
        <f>IFERROR(INDEX('I2015'!D$5:D$73,MATCH($C150,'I2015'!$A$5:$A$73,0)),"")</f>
        <v/>
      </c>
      <c r="G150" s="100" t="str">
        <f>IFERROR(INDEX('I2015'!E$5:E$73,MATCH($C150,'I2015'!$A$5:$A$73,0)),"")</f>
        <v/>
      </c>
      <c r="H150" s="100" t="str">
        <f>IFERROR(INDEX('I2015'!F$5:F$73,MATCH($C150,'I2015'!$A$5:$A$73,0)),"")</f>
        <v/>
      </c>
      <c r="I150" s="100" t="str">
        <f>IFERROR(INDEX('I2015'!G$5:G$73,MATCH($C150,'I2015'!$A$5:$A$73,0)),"")</f>
        <v/>
      </c>
      <c r="J150" s="100" t="str">
        <f>IFERROR(INDEX('I2015'!H$5:H$73,MATCH($C150,'I2015'!$A$5:$A$73,0)),"")</f>
        <v/>
      </c>
      <c r="K150" s="100" t="str">
        <f>IFERROR(INDEX('I2015'!I$5:I$73,MATCH($C150,'I2015'!$A$5:$A$73,0)),"")</f>
        <v/>
      </c>
      <c r="L150" s="100" t="str">
        <f>IFERROR(INDEX('I2015'!J$5:J$73,MATCH($C150,'I2015'!$A$5:$A$73,0)),"")</f>
        <v/>
      </c>
      <c r="M150" s="100" t="str">
        <f>IFERROR(INDEX('I2015'!K$5:K$73,MATCH($C150,'I2015'!$A$5:$A$73,0)),"")</f>
        <v/>
      </c>
      <c r="N150" s="100" t="str">
        <f>IFERROR(INDEX('I2015'!L$5:L$73,MATCH($C150,'I2015'!$A$5:$A$73,0)),"")</f>
        <v/>
      </c>
      <c r="O150" s="100" t="str">
        <f>IFERROR(INDEX('I2015'!M$5:M$73,MATCH($C150,'I2015'!$A$5:$A$73,0)),"")</f>
        <v/>
      </c>
      <c r="P150" s="100" t="str">
        <f>IFERROR(INDEX('I2016'!B$5:B$90,MATCH($C150,'I2016'!$A$5:$A$90,0)),"")</f>
        <v/>
      </c>
      <c r="Q150" s="100" t="str">
        <f>IFERROR(INDEX('I2016'!C$5:C$90,MATCH($C150,'I2016'!$A$5:$A$90,0)),"")</f>
        <v/>
      </c>
      <c r="R150" s="100" t="str">
        <f>IFERROR(INDEX('I2016'!D$5:D$90,MATCH($C150,'I2016'!$A$5:$A$90,0)),"")</f>
        <v/>
      </c>
      <c r="S150" s="100" t="str">
        <f>IFERROR(INDEX('I2016'!E$5:E$90,MATCH($C150,'I2016'!$A$5:$A$90,0)),"")</f>
        <v/>
      </c>
      <c r="T150" s="100" t="str">
        <f>IFERROR(INDEX('I2016'!F$5:F$90,MATCH($C150,'I2016'!$A$5:$A$90,0)),"")</f>
        <v/>
      </c>
      <c r="U150" s="100" t="str">
        <f>IFERROR(INDEX('I2016'!G$5:G$90,MATCH($C150,'I2016'!$A$5:$A$90,0)),"")</f>
        <v/>
      </c>
      <c r="V150" s="100" t="str">
        <f>IFERROR(INDEX('I2016'!H$5:H$90,MATCH($C150,'I2016'!$A$5:$A$90,0)),"")</f>
        <v/>
      </c>
      <c r="W150" s="100" t="str">
        <f>IFERROR(INDEX('I2016'!I$5:I$90,MATCH($C150,'I2016'!$A$5:$A$90,0)),"")</f>
        <v/>
      </c>
      <c r="X150" s="100" t="str">
        <f>IFERROR(INDEX('I2016'!J$5:J$90,MATCH($C150,'I2016'!$A$5:$A$90,0)),"")</f>
        <v/>
      </c>
      <c r="Y150" s="100" t="str">
        <f>IFERROR(INDEX('I2016'!K$5:K$90,MATCH($C150,'I2016'!$A$5:$A$90,0)),"")</f>
        <v/>
      </c>
      <c r="Z150" s="100" t="str">
        <f>IFERROR(INDEX('I2016'!L$5:L$90,MATCH($C150,'I2016'!$A$5:$A$90,0)),"")</f>
        <v/>
      </c>
      <c r="AA150" s="100" t="str">
        <f>IFERROR(INDEX('I2016'!M$5:M$90,MATCH($C150,'I2016'!$A$5:$A$90,0)),"")</f>
        <v/>
      </c>
      <c r="AB150" s="100" t="str">
        <f>IFERROR(INDEX('I2017'!B$5:B$96,MATCH($C150,'I2017'!$A$5:$A$96,0)),"")</f>
        <v/>
      </c>
      <c r="AC150" s="100" t="str">
        <f>IFERROR(INDEX('I2017'!C$5:C$96,MATCH($C150,'I2017'!$A$5:$A$96,0)),"")</f>
        <v/>
      </c>
      <c r="AD150" s="100" t="str">
        <f>IFERROR(INDEX('I2017'!D$5:D$96,MATCH($C150,'I2017'!$A$5:$A$96,0)),"")</f>
        <v/>
      </c>
      <c r="AE150" s="100" t="str">
        <f>IFERROR(INDEX('I2017'!E$5:E$96,MATCH($C150,'I2017'!$A$5:$A$96,0)),"")</f>
        <v/>
      </c>
      <c r="AF150" s="100" t="str">
        <f>IFERROR(INDEX('I2017'!F$5:F$96,MATCH($C150,'I2017'!$A$5:$A$96,0)),"")</f>
        <v/>
      </c>
      <c r="AG150" s="100" t="str">
        <f>IFERROR(INDEX('I2017'!G$5:G$96,MATCH($C150,'I2017'!$A$5:$A$96,0)),"")</f>
        <v/>
      </c>
      <c r="AH150" s="100" t="str">
        <f>IFERROR(INDEX('I2017'!H$5:H$96,MATCH($C150,'I2017'!$A$5:$A$96,0)),"")</f>
        <v/>
      </c>
      <c r="AI150" s="100" t="str">
        <f>IFERROR(INDEX('I2017'!I$5:I$96,MATCH($C150,'I2017'!$A$5:$A$96,0)),"")</f>
        <v/>
      </c>
      <c r="AJ150" s="100" t="str">
        <f>IFERROR(INDEX('I2017'!J$5:J$96,MATCH($C150,'I2017'!$A$5:$A$96,0)),"")</f>
        <v/>
      </c>
      <c r="AK150" s="100" t="str">
        <f>IFERROR(INDEX('I2017'!K$5:K$96,MATCH($C150,'I2017'!$A$5:$A$96,0)),"")</f>
        <v/>
      </c>
      <c r="AL150" s="100" t="str">
        <f>IFERROR(INDEX('I2017'!L$5:L$96,MATCH($C150,'I2017'!$A$5:$A$96,0)),"")</f>
        <v/>
      </c>
      <c r="AM150" s="100" t="str">
        <f>IFERROR(INDEX('I2017'!M$5:M$96,MATCH($C150,'I2017'!$A$5:$A$96,0)),"")</f>
        <v/>
      </c>
      <c r="AN150" s="100" t="str">
        <f>IFERROR(INDEX('I2018'!B$5:B$107,MATCH($C150,'I2018'!$A$5:$A$107,0)),"")</f>
        <v/>
      </c>
      <c r="AO150" s="100" t="str">
        <f>IFERROR(INDEX('I2018'!C$5:C$107,MATCH($C150,'I2018'!$A$5:$A$107,0)),"")</f>
        <v/>
      </c>
      <c r="AP150" s="100" t="str">
        <f>IFERROR(INDEX('I2018'!D$5:D$107,MATCH($C150,'I2018'!$A$5:$A$107,0)),"")</f>
        <v/>
      </c>
      <c r="AQ150" s="100" t="str">
        <f>IFERROR(INDEX('I2018'!E$5:E$107,MATCH($C150,'I2018'!$A$5:$A$107,0)),"")</f>
        <v/>
      </c>
      <c r="AR150" s="100" t="str">
        <f>IFERROR(INDEX('I2018'!F$5:F$107,MATCH($C150,'I2018'!$A$5:$A$107,0)),"")</f>
        <v/>
      </c>
      <c r="AS150" s="100" t="str">
        <f>IFERROR(INDEX('I2018'!G$5:G$107,MATCH($C150,'I2018'!$A$5:$A$107,0)),"")</f>
        <v/>
      </c>
      <c r="AT150" s="100" t="str">
        <f>IFERROR(INDEX('I2018'!H$5:H$107,MATCH($C150,'I2018'!$A$5:$A$107,0)),"")</f>
        <v/>
      </c>
      <c r="AU150" s="100" t="str">
        <f>IFERROR(INDEX('I2018'!I$5:I$107,MATCH($C150,'I2018'!$A$5:$A$107,0)),"")</f>
        <v/>
      </c>
      <c r="AV150" s="100" t="str">
        <f>IFERROR(INDEX('I2018'!J$5:J$107,MATCH($C150,'I2018'!$A$5:$A$107,0)),"")</f>
        <v/>
      </c>
      <c r="AW150" s="100" t="str">
        <f>IFERROR(INDEX('I2018'!K$5:K$107,MATCH($C150,'I2018'!$A$5:$A$107,0)),"")</f>
        <v/>
      </c>
      <c r="AX150" s="100" t="str">
        <f>IFERROR(INDEX('I2018'!L$5:L$107,MATCH($C150,'I2018'!$A$5:$A$107,0)),"")</f>
        <v/>
      </c>
      <c r="AY150" s="100" t="str">
        <f>IFERROR(INDEX('I2018'!M$5:M$107,MATCH($C150,'I2018'!$A$5:$A$107,0)),"")</f>
        <v/>
      </c>
      <c r="AZ150" s="100" t="str">
        <f>IFERROR(INDEX('I2019'!B$5:B$112,MATCH($C150,'I2019'!$A$5:$A$112,0)),"")</f>
        <v/>
      </c>
      <c r="BA150" s="100" t="str">
        <f>IFERROR(INDEX('I2019'!C$5:C$112,MATCH($C150,'I2019'!$A$5:$A$112,0)),"")</f>
        <v/>
      </c>
      <c r="BB150" s="100" t="str">
        <f>IFERROR(INDEX('I2019'!D$5:D$112,MATCH($C150,'I2019'!$A$5:$A$112,0)),"")</f>
        <v/>
      </c>
      <c r="BC150" s="100" t="str">
        <f>IFERROR(INDEX('I2019'!E$5:E$112,MATCH($C150,'I2019'!$A$5:$A$112,0)),"")</f>
        <v/>
      </c>
      <c r="BD150" s="100" t="str">
        <f>IFERROR(INDEX('I2019'!F$5:F$112,MATCH($C150,'I2019'!$A$5:$A$112,0)),"")</f>
        <v/>
      </c>
      <c r="BE150" s="100" t="str">
        <f>IFERROR(INDEX('I2019'!G$5:G$112,MATCH($C150,'I2019'!$A$5:$A$112,0)),"")</f>
        <v/>
      </c>
      <c r="BF150" s="100" t="str">
        <f>IFERROR(INDEX('I2019'!H$5:H$112,MATCH($C150,'I2019'!$A$5:$A$112,0)),"")</f>
        <v/>
      </c>
      <c r="BG150" s="100" t="str">
        <f>IFERROR(INDEX('I2019'!I$5:I$112,MATCH($C150,'I2019'!$A$5:$A$112,0)),"")</f>
        <v/>
      </c>
      <c r="BH150" s="100" t="str">
        <f>IFERROR(INDEX('I2019'!J$5:J$112,MATCH($C150,'I2019'!$A$5:$A$112,0)),"")</f>
        <v/>
      </c>
      <c r="BI150" s="100" t="str">
        <f>IFERROR(INDEX('I2019'!K$5:K$112,MATCH($C150,'I2019'!$A$5:$A$112,0)),"")</f>
        <v/>
      </c>
      <c r="BJ150" s="100" t="str">
        <f>IFERROR(INDEX('I2019'!L$5:L$112,MATCH($C150,'I2019'!$A$5:$A$112,0)),"")</f>
        <v/>
      </c>
      <c r="BK150" s="100" t="str">
        <f>IFERROR(INDEX('I2019'!M$5:M$112,MATCH($C150,'I2019'!$A$5:$A$112,0)),"")</f>
        <v/>
      </c>
      <c r="BL150" s="100" t="str">
        <f>IFERROR(INDEX('I2020'!B$5:B$113,MATCH($C150,'I2020'!$A$5:$A$113,0)),"")</f>
        <v/>
      </c>
      <c r="BM150" s="100" t="str">
        <f>IFERROR(INDEX('I2020'!C$5:C$113,MATCH($C150,'I2020'!$A$5:$A$113,0)),"")</f>
        <v/>
      </c>
      <c r="BN150" s="100" t="str">
        <f>IFERROR(INDEX('I2020'!D$5:D$113,MATCH($C150,'I2020'!$A$5:$A$113,0)),"")</f>
        <v/>
      </c>
      <c r="BO150" s="100" t="str">
        <f>IFERROR(INDEX('I2020'!E$5:E$113,MATCH($C150,'I2020'!$A$5:$A$113,0)),"")</f>
        <v/>
      </c>
      <c r="BP150" s="100" t="str">
        <f>IFERROR(INDEX('I2020'!F$5:F$113,MATCH($C150,'I2020'!$A$5:$A$113,0)),"")</f>
        <v/>
      </c>
      <c r="BQ150" s="395" t="str">
        <f>IFERROR(INDEX('I2020'!G$5:G$113,MATCH($C150,'I2020'!$A$5:$A$113,0)),"")</f>
        <v/>
      </c>
      <c r="BR150" s="148"/>
      <c r="BS150" s="148"/>
      <c r="BT150" s="148"/>
      <c r="BU150" s="148"/>
      <c r="BV150" s="148"/>
      <c r="BW150" s="148"/>
      <c r="BX150" s="148"/>
      <c r="BY150" s="148"/>
      <c r="BZ150" s="148"/>
      <c r="CA150" s="148"/>
      <c r="CB150" s="148"/>
      <c r="CC150" s="148"/>
      <c r="CD150" s="148"/>
      <c r="CE150" s="148"/>
      <c r="CF150" s="148"/>
      <c r="CG150" s="148"/>
      <c r="CH150" s="148"/>
      <c r="CI150" s="149"/>
      <c r="CJ150" s="269"/>
    </row>
    <row r="151" spans="1:88" x14ac:dyDescent="0.3">
      <c r="A151" s="33"/>
      <c r="B151" s="166"/>
      <c r="C151" s="26" t="s">
        <v>103</v>
      </c>
      <c r="D151" s="23">
        <f>IFERROR(INDEX('I2015'!B$5:B$73,MATCH($C151,'I2015'!$A$5:$A$73,0)),"")</f>
        <v>15448.05</v>
      </c>
      <c r="E151" s="23">
        <f>IFERROR(INDEX('I2015'!C$5:C$73,MATCH($C151,'I2015'!$A$5:$A$73,0)),"")</f>
        <v>19669.010000000002</v>
      </c>
      <c r="F151" s="23">
        <f>IFERROR(INDEX('I2015'!D$5:D$73,MATCH($C151,'I2015'!$A$5:$A$73,0)),"")</f>
        <v>29260.189999999995</v>
      </c>
      <c r="G151" s="23">
        <f>IFERROR(INDEX('I2015'!E$5:E$73,MATCH($C151,'I2015'!$A$5:$A$73,0)),"")</f>
        <v>28201.030000000002</v>
      </c>
      <c r="H151" s="23">
        <f>IFERROR(INDEX('I2015'!F$5:F$73,MATCH($C151,'I2015'!$A$5:$A$73,0)),"")</f>
        <v>25952.05</v>
      </c>
      <c r="I151" s="23">
        <f>IFERROR(INDEX('I2015'!G$5:G$73,MATCH($C151,'I2015'!$A$5:$A$73,0)),"")</f>
        <v>42213.350000000006</v>
      </c>
      <c r="J151" s="23">
        <f>IFERROR(INDEX('I2015'!H$5:H$73,MATCH($C151,'I2015'!$A$5:$A$73,0)),"")</f>
        <v>35880.54</v>
      </c>
      <c r="K151" s="23">
        <f>IFERROR(INDEX('I2015'!I$5:I$73,MATCH($C151,'I2015'!$A$5:$A$73,0)),"")</f>
        <v>40951.379999999997</v>
      </c>
      <c r="L151" s="23">
        <f>IFERROR(INDEX('I2015'!J$5:J$73,MATCH($C151,'I2015'!$A$5:$A$73,0)),"")</f>
        <v>41421.06</v>
      </c>
      <c r="M151" s="23">
        <f>IFERROR(INDEX('I2015'!K$5:K$73,MATCH($C151,'I2015'!$A$5:$A$73,0)),"")</f>
        <v>48509.95</v>
      </c>
      <c r="N151" s="23">
        <f>IFERROR(INDEX('I2015'!L$5:L$73,MATCH($C151,'I2015'!$A$5:$A$73,0)),"")</f>
        <v>48939.149999999994</v>
      </c>
      <c r="O151" s="23">
        <f>IFERROR(INDEX('I2015'!M$5:M$73,MATCH($C151,'I2015'!$A$5:$A$73,0)),"")</f>
        <v>53047.340000000004</v>
      </c>
      <c r="P151" s="23">
        <f>IFERROR(INDEX('I2016'!B$5:B$90,MATCH($C151,'I2016'!$A$5:$A$90,0)),"")</f>
        <v>70986.59</v>
      </c>
      <c r="Q151" s="23">
        <f>IFERROR(INDEX('I2016'!C$5:C$90,MATCH($C151,'I2016'!$A$5:$A$90,0)),"")</f>
        <v>80087.48</v>
      </c>
      <c r="R151" s="23">
        <f>IFERROR(INDEX('I2016'!D$5:D$90,MATCH($C151,'I2016'!$A$5:$A$90,0)),"")</f>
        <v>66537.98</v>
      </c>
      <c r="S151" s="23">
        <f>IFERROR(INDEX('I2016'!E$5:E$90,MATCH($C151,'I2016'!$A$5:$A$90,0)),"")</f>
        <v>76839.59</v>
      </c>
      <c r="T151" s="23">
        <f>IFERROR(INDEX('I2016'!F$5:F$90,MATCH($C151,'I2016'!$A$5:$A$90,0)),"")</f>
        <v>90720.01</v>
      </c>
      <c r="U151" s="23">
        <f>IFERROR(INDEX('I2016'!G$5:G$90,MATCH($C151,'I2016'!$A$5:$A$90,0)),"")</f>
        <v>82111.58</v>
      </c>
      <c r="V151" s="23">
        <f>IFERROR(INDEX('I2016'!H$5:H$90,MATCH($C151,'I2016'!$A$5:$A$90,0)),"")</f>
        <v>85095.43</v>
      </c>
      <c r="W151" s="23">
        <f>IFERROR(INDEX('I2016'!I$5:I$90,MATCH($C151,'I2016'!$A$5:$A$90,0)),"")</f>
        <v>109205.57</v>
      </c>
      <c r="X151" s="23">
        <f>IFERROR(INDEX('I2016'!J$5:J$90,MATCH($C151,'I2016'!$A$5:$A$90,0)),"")</f>
        <v>126379.35999999999</v>
      </c>
      <c r="Y151" s="23">
        <f>IFERROR(INDEX('I2016'!K$5:K$90,MATCH($C151,'I2016'!$A$5:$A$90,0)),"")</f>
        <v>122947.62000000001</v>
      </c>
      <c r="Z151" s="23">
        <f>IFERROR(INDEX('I2016'!L$5:L$90,MATCH($C151,'I2016'!$A$5:$A$90,0)),"")</f>
        <v>118712.16</v>
      </c>
      <c r="AA151" s="23">
        <f>IFERROR(INDEX('I2016'!M$5:M$90,MATCH($C151,'I2016'!$A$5:$A$90,0)),"")</f>
        <v>107155.55000000002</v>
      </c>
      <c r="AB151" s="23">
        <f>IFERROR(INDEX('I2017'!B$5:B$96,MATCH($C151,'I2017'!$A$5:$A$96,0)),"")</f>
        <v>98568.700000000012</v>
      </c>
      <c r="AC151" s="23">
        <f>IFERROR(INDEX('I2017'!C$5:C$96,MATCH($C151,'I2017'!$A$5:$A$96,0)),"")</f>
        <v>95444.93</v>
      </c>
      <c r="AD151" s="23">
        <f>IFERROR(INDEX('I2017'!D$5:D$96,MATCH($C151,'I2017'!$A$5:$A$96,0)),"")</f>
        <v>117282.49</v>
      </c>
      <c r="AE151" s="23">
        <f>IFERROR(INDEX('I2017'!E$5:E$96,MATCH($C151,'I2017'!$A$5:$A$96,0)),"")</f>
        <v>140639.03</v>
      </c>
      <c r="AF151" s="23">
        <f>IFERROR(INDEX('I2017'!F$5:F$96,MATCH($C151,'I2017'!$A$5:$A$96,0)),"")</f>
        <v>127289.88</v>
      </c>
      <c r="AG151" s="23">
        <f>IFERROR(INDEX('I2017'!G$5:G$96,MATCH($C151,'I2017'!$A$5:$A$96,0)),"")</f>
        <v>122607.98</v>
      </c>
      <c r="AH151" s="23">
        <f>IFERROR(INDEX('I2017'!H$5:H$96,MATCH($C151,'I2017'!$A$5:$A$96,0)),"")</f>
        <v>142590.29</v>
      </c>
      <c r="AI151" s="23">
        <f>IFERROR(INDEX('I2017'!I$5:I$96,MATCH($C151,'I2017'!$A$5:$A$96,0)),"")</f>
        <v>172735.89999999997</v>
      </c>
      <c r="AJ151" s="23">
        <f>IFERROR(INDEX('I2017'!J$5:J$96,MATCH($C151,'I2017'!$A$5:$A$96,0)),"")</f>
        <v>161402.47000000003</v>
      </c>
      <c r="AK151" s="23">
        <f>IFERROR(INDEX('I2017'!K$5:K$96,MATCH($C151,'I2017'!$A$5:$A$96,0)),"")</f>
        <v>177095.09999999998</v>
      </c>
      <c r="AL151" s="23">
        <f>IFERROR(INDEX('I2017'!L$5:L$96,MATCH($C151,'I2017'!$A$5:$A$96,0)),"")</f>
        <v>197446.55</v>
      </c>
      <c r="AM151" s="23">
        <f>IFERROR(INDEX('I2017'!M$5:M$96,MATCH($C151,'I2017'!$A$5:$A$96,0)),"")</f>
        <v>176458.43</v>
      </c>
      <c r="AN151" s="23">
        <f>IFERROR(INDEX('I2018'!B$5:B$107,MATCH($C151,'I2018'!$A$5:$A$107,0)),"")</f>
        <v>213127.97</v>
      </c>
      <c r="AO151" s="23">
        <f>IFERROR(INDEX('I2018'!C$5:C$107,MATCH($C151,'I2018'!$A$5:$A$107,0)),"")</f>
        <v>286535.08</v>
      </c>
      <c r="AP151" s="23">
        <f>IFERROR(INDEX('I2018'!D$5:D$107,MATCH($C151,'I2018'!$A$5:$A$107,0)),"")</f>
        <v>364486.14999999997</v>
      </c>
      <c r="AQ151" s="23">
        <f>IFERROR(INDEX('I2018'!E$5:E$107,MATCH($C151,'I2018'!$A$5:$A$107,0)),"")</f>
        <v>319508.14999999997</v>
      </c>
      <c r="AR151" s="23">
        <f>IFERROR(INDEX('I2018'!F$5:F$107,MATCH($C151,'I2018'!$A$5:$A$107,0)),"")</f>
        <v>429054.85</v>
      </c>
      <c r="AS151" s="23">
        <f>IFERROR(INDEX('I2018'!G$5:G$107,MATCH($C151,'I2018'!$A$5:$A$107,0)),"")</f>
        <v>551448.37</v>
      </c>
      <c r="AT151" s="23">
        <f>IFERROR(INDEX('I2018'!H$5:H$107,MATCH($C151,'I2018'!$A$5:$A$107,0)),"")</f>
        <v>570698.37</v>
      </c>
      <c r="AU151" s="23">
        <f>IFERROR(INDEX('I2018'!I$5:I$107,MATCH($C151,'I2018'!$A$5:$A$107,0)),"")</f>
        <v>617823.84</v>
      </c>
      <c r="AV151" s="23">
        <f>IFERROR(INDEX('I2018'!J$5:J$107,MATCH($C151,'I2018'!$A$5:$A$107,0)),"")</f>
        <v>833253.44</v>
      </c>
      <c r="AW151" s="23">
        <f>IFERROR(INDEX('I2018'!K$5:K$107,MATCH($C151,'I2018'!$A$5:$A$107,0)),"")</f>
        <v>944798.78999999992</v>
      </c>
      <c r="AX151" s="23">
        <f>IFERROR(INDEX('I2018'!L$5:L$107,MATCH($C151,'I2018'!$A$5:$A$107,0)),"")</f>
        <v>771136.81999999983</v>
      </c>
      <c r="AY151" s="23">
        <f>IFERROR(INDEX('I2018'!M$5:M$107,MATCH($C151,'I2018'!$A$5:$A$107,0)),"")</f>
        <v>642868.64</v>
      </c>
      <c r="AZ151" s="23">
        <f>IFERROR(INDEX('I2019'!B$5:B$112,MATCH($C151,'I2019'!$A$5:$A$112,0)),"")</f>
        <v>667685.53</v>
      </c>
      <c r="BA151" s="23">
        <f>IFERROR(INDEX('I2019'!C$5:C$112,MATCH($C151,'I2019'!$A$5:$A$112,0)),"")</f>
        <v>713284.15</v>
      </c>
      <c r="BB151" s="23">
        <f>IFERROR(INDEX('I2019'!D$5:D$112,MATCH($C151,'I2019'!$A$5:$A$112,0)),"")</f>
        <v>762783.71</v>
      </c>
      <c r="BC151" s="23">
        <f>IFERROR(INDEX('I2019'!E$5:E$112,MATCH($C151,'I2019'!$A$5:$A$112,0)),"")</f>
        <v>822124.4</v>
      </c>
      <c r="BD151" s="23">
        <f>IFERROR(INDEX('I2019'!F$5:F$112,MATCH($C151,'I2019'!$A$5:$A$112,0)),"")</f>
        <v>825435.6</v>
      </c>
      <c r="BE151" s="23">
        <f>IFERROR(INDEX('I2019'!G$5:G$112,MATCH($C151,'I2019'!$A$5:$A$112,0)),"")</f>
        <v>812297.46000000008</v>
      </c>
      <c r="BF151" s="23">
        <f>IFERROR(INDEX('I2019'!H$5:H$112,MATCH($C151,'I2019'!$A$5:$A$112,0)),"")</f>
        <v>881361.52999999991</v>
      </c>
      <c r="BG151" s="23">
        <f>IFERROR(INDEX('I2019'!I$5:I$112,MATCH($C151,'I2019'!$A$5:$A$112,0)),"")</f>
        <v>838740.1399999999</v>
      </c>
      <c r="BH151" s="23">
        <f>IFERROR(INDEX('I2019'!J$5:J$112,MATCH($C151,'I2019'!$A$5:$A$112,0)),"")</f>
        <v>902080.44000000006</v>
      </c>
      <c r="BI151" s="23">
        <f>IFERROR(INDEX('I2019'!K$5:K$112,MATCH($C151,'I2019'!$A$5:$A$112,0)),"")</f>
        <v>921802.98</v>
      </c>
      <c r="BJ151" s="23">
        <f>IFERROR(INDEX('I2019'!L$5:L$112,MATCH($C151,'I2019'!$A$5:$A$112,0)),"")</f>
        <v>778720.08000000007</v>
      </c>
      <c r="BK151" s="23">
        <f>IFERROR(INDEX('I2019'!M$5:M$112,MATCH($C151,'I2019'!$A$5:$A$112,0)),"")</f>
        <v>762637.02</v>
      </c>
      <c r="BL151" s="23">
        <f>IFERROR(INDEX('I2020'!B$5:B$113,MATCH($C151,'I2020'!$A$5:$A$113,0)),"")</f>
        <v>758970.73999999976</v>
      </c>
      <c r="BM151" s="23">
        <f>IFERROR(INDEX('I2020'!C$5:C$113,MATCH($C151,'I2020'!$A$5:$A$113,0)),"")</f>
        <v>777244.92000000016</v>
      </c>
      <c r="BN151" s="23">
        <f>IFERROR(INDEX('I2020'!D$5:D$113,MATCH($C151,'I2020'!$A$5:$A$113,0)),"")</f>
        <v>751290.21999999986</v>
      </c>
      <c r="BO151" s="23">
        <f>IFERROR(INDEX('I2020'!E$5:E$113,MATCH($C151,'I2020'!$A$5:$A$113,0)),"")</f>
        <v>840695.65</v>
      </c>
      <c r="BP151" s="23">
        <f>IFERROR(INDEX('I2020'!F$5:F$113,MATCH($C151,'I2020'!$A$5:$A$113,0)),"")</f>
        <v>849850.91999999993</v>
      </c>
      <c r="BQ151" s="396">
        <f>IFERROR(INDEX('I2020'!G$5:G$113,MATCH($C151,'I2020'!$A$5:$A$113,0)),"")</f>
        <v>940646.88</v>
      </c>
      <c r="BR151" s="66">
        <f t="shared" ref="BQ151:CI151" si="105">SUM(BR146:BR149)+BR135+BR112+BR91</f>
        <v>995486.35535835079</v>
      </c>
      <c r="BS151" s="66">
        <f t="shared" si="105"/>
        <v>1027127.5989749006</v>
      </c>
      <c r="BT151" s="66">
        <f t="shared" si="105"/>
        <v>1065647.1172882714</v>
      </c>
      <c r="BU151" s="66">
        <f t="shared" si="105"/>
        <v>1111490.777281123</v>
      </c>
      <c r="BV151" s="66">
        <f t="shared" si="105"/>
        <v>1163348.7480680172</v>
      </c>
      <c r="BW151" s="66">
        <f t="shared" si="105"/>
        <v>1221386.8661974764</v>
      </c>
      <c r="BX151" s="66">
        <f t="shared" si="105"/>
        <v>1255002.7450026856</v>
      </c>
      <c r="BY151" s="66">
        <f t="shared" si="105"/>
        <v>1286172.9984065411</v>
      </c>
      <c r="BZ151" s="66">
        <f t="shared" si="105"/>
        <v>1314378.7957059878</v>
      </c>
      <c r="CA151" s="66">
        <f t="shared" si="105"/>
        <v>1342153.7543322959</v>
      </c>
      <c r="CB151" s="66">
        <f t="shared" si="105"/>
        <v>1368318.7668404656</v>
      </c>
      <c r="CC151" s="66">
        <f t="shared" si="105"/>
        <v>1392673.5465535999</v>
      </c>
      <c r="CD151" s="66">
        <f t="shared" si="105"/>
        <v>1417018.2950043124</v>
      </c>
      <c r="CE151" s="66">
        <f t="shared" si="105"/>
        <v>1441360.4050358946</v>
      </c>
      <c r="CF151" s="66">
        <f t="shared" si="105"/>
        <v>1465401.509971146</v>
      </c>
      <c r="CG151" s="66">
        <f t="shared" si="105"/>
        <v>1489307.0461316474</v>
      </c>
      <c r="CH151" s="66">
        <f t="shared" si="105"/>
        <v>1513129.8906847341</v>
      </c>
      <c r="CI151" s="150">
        <f t="shared" si="105"/>
        <v>1536969.1516112031</v>
      </c>
      <c r="CJ151" s="139"/>
    </row>
    <row r="152" spans="1:88" x14ac:dyDescent="0.3">
      <c r="A152" s="33"/>
      <c r="B152" s="68"/>
      <c r="C152" s="82" t="s">
        <v>260</v>
      </c>
      <c r="D152" s="100" t="str">
        <f>IFERROR(INDEX('I2015'!B$5:B$73,MATCH($C152,'I2015'!$A$5:$A$73,0)),"")</f>
        <v/>
      </c>
      <c r="E152" s="100" t="str">
        <f>IFERROR(INDEX('I2015'!C$5:C$73,MATCH($C152,'I2015'!$A$5:$A$73,0)),"")</f>
        <v/>
      </c>
      <c r="F152" s="100" t="str">
        <f>IFERROR(INDEX('I2015'!D$5:D$73,MATCH($C152,'I2015'!$A$5:$A$73,0)),"")</f>
        <v/>
      </c>
      <c r="G152" s="100" t="str">
        <f>IFERROR(INDEX('I2015'!E$5:E$73,MATCH($C152,'I2015'!$A$5:$A$73,0)),"")</f>
        <v/>
      </c>
      <c r="H152" s="100" t="str">
        <f>IFERROR(INDEX('I2015'!F$5:F$73,MATCH($C152,'I2015'!$A$5:$A$73,0)),"")</f>
        <v/>
      </c>
      <c r="I152" s="100" t="str">
        <f>IFERROR(INDEX('I2015'!G$5:G$73,MATCH($C152,'I2015'!$A$5:$A$73,0)),"")</f>
        <v/>
      </c>
      <c r="J152" s="100" t="str">
        <f>IFERROR(INDEX('I2015'!H$5:H$73,MATCH($C152,'I2015'!$A$5:$A$73,0)),"")</f>
        <v/>
      </c>
      <c r="K152" s="100" t="str">
        <f>IFERROR(INDEX('I2015'!I$5:I$73,MATCH($C152,'I2015'!$A$5:$A$73,0)),"")</f>
        <v/>
      </c>
      <c r="L152" s="100" t="str">
        <f>IFERROR(INDEX('I2015'!J$5:J$73,MATCH($C152,'I2015'!$A$5:$A$73,0)),"")</f>
        <v/>
      </c>
      <c r="M152" s="100" t="str">
        <f>IFERROR(INDEX('I2015'!K$5:K$73,MATCH($C152,'I2015'!$A$5:$A$73,0)),"")</f>
        <v/>
      </c>
      <c r="N152" s="100" t="str">
        <f>IFERROR(INDEX('I2015'!L$5:L$73,MATCH($C152,'I2015'!$A$5:$A$73,0)),"")</f>
        <v/>
      </c>
      <c r="O152" s="100" t="str">
        <f>IFERROR(INDEX('I2015'!M$5:M$73,MATCH($C152,'I2015'!$A$5:$A$73,0)),"")</f>
        <v/>
      </c>
      <c r="P152" s="100" t="str">
        <f>IFERROR(INDEX('I2016'!B$5:B$90,MATCH($C152,'I2016'!$A$5:$A$90,0)),"")</f>
        <v/>
      </c>
      <c r="Q152" s="100" t="str">
        <f>IFERROR(INDEX('I2016'!C$5:C$90,MATCH($C152,'I2016'!$A$5:$A$90,0)),"")</f>
        <v/>
      </c>
      <c r="R152" s="100" t="str">
        <f>IFERROR(INDEX('I2016'!D$5:D$90,MATCH($C152,'I2016'!$A$5:$A$90,0)),"")</f>
        <v/>
      </c>
      <c r="S152" s="100" t="str">
        <f>IFERROR(INDEX('I2016'!E$5:E$90,MATCH($C152,'I2016'!$A$5:$A$90,0)),"")</f>
        <v/>
      </c>
      <c r="T152" s="100" t="str">
        <f>IFERROR(INDEX('I2016'!F$5:F$90,MATCH($C152,'I2016'!$A$5:$A$90,0)),"")</f>
        <v/>
      </c>
      <c r="U152" s="100" t="str">
        <f>IFERROR(INDEX('I2016'!G$5:G$90,MATCH($C152,'I2016'!$A$5:$A$90,0)),"")</f>
        <v/>
      </c>
      <c r="V152" s="100" t="str">
        <f>IFERROR(INDEX('I2016'!H$5:H$90,MATCH($C152,'I2016'!$A$5:$A$90,0)),"")</f>
        <v/>
      </c>
      <c r="W152" s="100" t="str">
        <f>IFERROR(INDEX('I2016'!I$5:I$90,MATCH($C152,'I2016'!$A$5:$A$90,0)),"")</f>
        <v/>
      </c>
      <c r="X152" s="100" t="str">
        <f>IFERROR(INDEX('I2016'!J$5:J$90,MATCH($C152,'I2016'!$A$5:$A$90,0)),"")</f>
        <v/>
      </c>
      <c r="Y152" s="100" t="str">
        <f>IFERROR(INDEX('I2016'!K$5:K$90,MATCH($C152,'I2016'!$A$5:$A$90,0)),"")</f>
        <v/>
      </c>
      <c r="Z152" s="100" t="str">
        <f>IFERROR(INDEX('I2016'!L$5:L$90,MATCH($C152,'I2016'!$A$5:$A$90,0)),"")</f>
        <v/>
      </c>
      <c r="AA152" s="100" t="str">
        <f>IFERROR(INDEX('I2016'!M$5:M$90,MATCH($C152,'I2016'!$A$5:$A$90,0)),"")</f>
        <v/>
      </c>
      <c r="AB152" s="100" t="str">
        <f>IFERROR(INDEX('I2017'!B$5:B$96,MATCH($C152,'I2017'!$A$5:$A$96,0)),"")</f>
        <v/>
      </c>
      <c r="AC152" s="100" t="str">
        <f>IFERROR(INDEX('I2017'!C$5:C$96,MATCH($C152,'I2017'!$A$5:$A$96,0)),"")</f>
        <v/>
      </c>
      <c r="AD152" s="100" t="str">
        <f>IFERROR(INDEX('I2017'!D$5:D$96,MATCH($C152,'I2017'!$A$5:$A$96,0)),"")</f>
        <v/>
      </c>
      <c r="AE152" s="100" t="str">
        <f>IFERROR(INDEX('I2017'!E$5:E$96,MATCH($C152,'I2017'!$A$5:$A$96,0)),"")</f>
        <v/>
      </c>
      <c r="AF152" s="100" t="str">
        <f>IFERROR(INDEX('I2017'!F$5:F$96,MATCH($C152,'I2017'!$A$5:$A$96,0)),"")</f>
        <v/>
      </c>
      <c r="AG152" s="100" t="str">
        <f>IFERROR(INDEX('I2017'!G$5:G$96,MATCH($C152,'I2017'!$A$5:$A$96,0)),"")</f>
        <v/>
      </c>
      <c r="AH152" s="100" t="str">
        <f>IFERROR(INDEX('I2017'!H$5:H$96,MATCH($C152,'I2017'!$A$5:$A$96,0)),"")</f>
        <v/>
      </c>
      <c r="AI152" s="100" t="str">
        <f>IFERROR(INDEX('I2017'!I$5:I$96,MATCH($C152,'I2017'!$A$5:$A$96,0)),"")</f>
        <v/>
      </c>
      <c r="AJ152" s="100" t="str">
        <f>IFERROR(INDEX('I2017'!J$5:J$96,MATCH($C152,'I2017'!$A$5:$A$96,0)),"")</f>
        <v/>
      </c>
      <c r="AK152" s="100" t="str">
        <f>IFERROR(INDEX('I2017'!K$5:K$96,MATCH($C152,'I2017'!$A$5:$A$96,0)),"")</f>
        <v/>
      </c>
      <c r="AL152" s="100" t="str">
        <f>IFERROR(INDEX('I2017'!L$5:L$96,MATCH($C152,'I2017'!$A$5:$A$96,0)),"")</f>
        <v/>
      </c>
      <c r="AM152" s="100" t="str">
        <f>IFERROR(INDEX('I2017'!M$5:M$96,MATCH($C152,'I2017'!$A$5:$A$96,0)),"")</f>
        <v/>
      </c>
      <c r="AN152" s="100" t="str">
        <f>IFERROR(INDEX('I2018'!B$5:B$107,MATCH($C152,'I2018'!$A$5:$A$107,0)),"")</f>
        <v/>
      </c>
      <c r="AO152" s="100" t="str">
        <f>IFERROR(INDEX('I2018'!C$5:C$107,MATCH($C152,'I2018'!$A$5:$A$107,0)),"")</f>
        <v/>
      </c>
      <c r="AP152" s="100" t="str">
        <f>IFERROR(INDEX('I2018'!D$5:D$107,MATCH($C152,'I2018'!$A$5:$A$107,0)),"")</f>
        <v/>
      </c>
      <c r="AQ152" s="100" t="str">
        <f>IFERROR(INDEX('I2018'!E$5:E$107,MATCH($C152,'I2018'!$A$5:$A$107,0)),"")</f>
        <v/>
      </c>
      <c r="AR152" s="100" t="str">
        <f>IFERROR(INDEX('I2018'!F$5:F$107,MATCH($C152,'I2018'!$A$5:$A$107,0)),"")</f>
        <v/>
      </c>
      <c r="AS152" s="100" t="str">
        <f>IFERROR(INDEX('I2018'!G$5:G$107,MATCH($C152,'I2018'!$A$5:$A$107,0)),"")</f>
        <v/>
      </c>
      <c r="AT152" s="100" t="str">
        <f>IFERROR(INDEX('I2018'!H$5:H$107,MATCH($C152,'I2018'!$A$5:$A$107,0)),"")</f>
        <v/>
      </c>
      <c r="AU152" s="100" t="str">
        <f>IFERROR(INDEX('I2018'!I$5:I$107,MATCH($C152,'I2018'!$A$5:$A$107,0)),"")</f>
        <v/>
      </c>
      <c r="AV152" s="100" t="str">
        <f>IFERROR(INDEX('I2018'!J$5:J$107,MATCH($C152,'I2018'!$A$5:$A$107,0)),"")</f>
        <v/>
      </c>
      <c r="AW152" s="100" t="str">
        <f>IFERROR(INDEX('I2018'!K$5:K$107,MATCH($C152,'I2018'!$A$5:$A$107,0)),"")</f>
        <v/>
      </c>
      <c r="AX152" s="100" t="str">
        <f>IFERROR(INDEX('I2018'!L$5:L$107,MATCH($C152,'I2018'!$A$5:$A$107,0)),"")</f>
        <v/>
      </c>
      <c r="AY152" s="100" t="str">
        <f>IFERROR(INDEX('I2018'!M$5:M$107,MATCH($C152,'I2018'!$A$5:$A$107,0)),"")</f>
        <v/>
      </c>
      <c r="AZ152" s="100" t="str">
        <f>IFERROR(INDEX('I2019'!B$5:B$112,MATCH($C152,'I2019'!$A$5:$A$112,0)),"")</f>
        <v/>
      </c>
      <c r="BA152" s="100" t="str">
        <f>IFERROR(INDEX('I2019'!C$5:C$112,MATCH($C152,'I2019'!$A$5:$A$112,0)),"")</f>
        <v/>
      </c>
      <c r="BB152" s="100" t="str">
        <f>IFERROR(INDEX('I2019'!D$5:D$112,MATCH($C152,'I2019'!$A$5:$A$112,0)),"")</f>
        <v/>
      </c>
      <c r="BC152" s="100" t="str">
        <f>IFERROR(INDEX('I2019'!E$5:E$112,MATCH($C152,'I2019'!$A$5:$A$112,0)),"")</f>
        <v/>
      </c>
      <c r="BD152" s="100" t="str">
        <f>IFERROR(INDEX('I2019'!F$5:F$112,MATCH($C152,'I2019'!$A$5:$A$112,0)),"")</f>
        <v/>
      </c>
      <c r="BE152" s="100" t="str">
        <f>IFERROR(INDEX('I2019'!G$5:G$112,MATCH($C152,'I2019'!$A$5:$A$112,0)),"")</f>
        <v/>
      </c>
      <c r="BF152" s="100" t="str">
        <f>IFERROR(INDEX('I2019'!H$5:H$112,MATCH($C152,'I2019'!$A$5:$A$112,0)),"")</f>
        <v/>
      </c>
      <c r="BG152" s="100" t="str">
        <f>IFERROR(INDEX('I2019'!I$5:I$112,MATCH($C152,'I2019'!$A$5:$A$112,0)),"")</f>
        <v/>
      </c>
      <c r="BH152" s="100" t="str">
        <f>IFERROR(INDEX('I2019'!J$5:J$112,MATCH($C152,'I2019'!$A$5:$A$112,0)),"")</f>
        <v/>
      </c>
      <c r="BI152" s="100" t="str">
        <f>IFERROR(INDEX('I2019'!K$5:K$112,MATCH($C152,'I2019'!$A$5:$A$112,0)),"")</f>
        <v/>
      </c>
      <c r="BJ152" s="100" t="str">
        <f>IFERROR(INDEX('I2019'!L$5:L$112,MATCH($C152,'I2019'!$A$5:$A$112,0)),"")</f>
        <v/>
      </c>
      <c r="BK152" s="100" t="str">
        <f>IFERROR(INDEX('I2019'!M$5:M$112,MATCH($C152,'I2019'!$A$5:$A$112,0)),"")</f>
        <v/>
      </c>
      <c r="BL152" s="100" t="str">
        <f>IFERROR(INDEX('I2020'!B$5:B$113,MATCH($C152,'I2020'!$A$5:$A$113,0)),"")</f>
        <v/>
      </c>
      <c r="BM152" s="100" t="str">
        <f>IFERROR(INDEX('I2020'!C$5:C$113,MATCH($C152,'I2020'!$A$5:$A$113,0)),"")</f>
        <v/>
      </c>
      <c r="BN152" s="100" t="str">
        <f>IFERROR(INDEX('I2020'!D$5:D$113,MATCH($C152,'I2020'!$A$5:$A$113,0)),"")</f>
        <v/>
      </c>
      <c r="BO152" s="100" t="str">
        <f>IFERROR(INDEX('I2020'!E$5:E$113,MATCH($C152,'I2020'!$A$5:$A$113,0)),"")</f>
        <v/>
      </c>
      <c r="BP152" s="100" t="str">
        <f>IFERROR(INDEX('I2020'!F$5:F$113,MATCH($C152,'I2020'!$A$5:$A$113,0)),"")</f>
        <v/>
      </c>
      <c r="BQ152" s="395" t="str">
        <f>IFERROR(INDEX('I2020'!G$5:G$113,MATCH($C152,'I2020'!$A$5:$A$113,0)),"")</f>
        <v/>
      </c>
      <c r="BR152" s="148"/>
      <c r="BS152" s="148"/>
      <c r="BT152" s="148"/>
      <c r="BU152" s="148"/>
      <c r="BV152" s="148"/>
      <c r="BW152" s="148"/>
      <c r="BX152" s="148"/>
      <c r="BY152" s="148"/>
      <c r="BZ152" s="148"/>
      <c r="CA152" s="148"/>
      <c r="CB152" s="148"/>
      <c r="CC152" s="148"/>
      <c r="CD152" s="148"/>
      <c r="CE152" s="148"/>
      <c r="CF152" s="148"/>
      <c r="CG152" s="148"/>
      <c r="CH152" s="148"/>
      <c r="CI152" s="149"/>
      <c r="CJ152" s="134"/>
    </row>
    <row r="153" spans="1:88" x14ac:dyDescent="0.3">
      <c r="A153" s="33"/>
      <c r="B153" s="166"/>
      <c r="C153" s="26" t="s">
        <v>104</v>
      </c>
      <c r="D153" s="78">
        <f>IFERROR(INDEX('I2015'!B$5:B$73,MATCH($C153,'I2015'!$A$5:$A$73,0)),"")</f>
        <v>342.86000000000058</v>
      </c>
      <c r="E153" s="78">
        <f>IFERROR(INDEX('I2015'!C$5:C$73,MATCH($C153,'I2015'!$A$5:$A$73,0)),"")</f>
        <v>-8595.1000000000022</v>
      </c>
      <c r="F153" s="78">
        <f>IFERROR(INDEX('I2015'!D$5:D$73,MATCH($C153,'I2015'!$A$5:$A$73,0)),"")</f>
        <v>-16784.059999999998</v>
      </c>
      <c r="G153" s="78">
        <f>IFERROR(INDEX('I2015'!E$5:E$73,MATCH($C153,'I2015'!$A$5:$A$73,0)),"")</f>
        <v>-12624.160000000003</v>
      </c>
      <c r="H153" s="78">
        <f>IFERROR(INDEX('I2015'!F$5:F$73,MATCH($C153,'I2015'!$A$5:$A$73,0)),"")</f>
        <v>-3035.59</v>
      </c>
      <c r="I153" s="78">
        <f>IFERROR(INDEX('I2015'!G$5:G$73,MATCH($C153,'I2015'!$A$5:$A$73,0)),"")</f>
        <v>-25048.490000000005</v>
      </c>
      <c r="J153" s="78">
        <f>IFERROR(INDEX('I2015'!H$5:H$73,MATCH($C153,'I2015'!$A$5:$A$73,0)),"")</f>
        <v>-10313.700000000004</v>
      </c>
      <c r="K153" s="78">
        <f>IFERROR(INDEX('I2015'!I$5:I$73,MATCH($C153,'I2015'!$A$5:$A$73,0)),"")</f>
        <v>-8114.5800000000017</v>
      </c>
      <c r="L153" s="78">
        <f>IFERROR(INDEX('I2015'!J$5:J$73,MATCH($C153,'I2015'!$A$5:$A$73,0)),"")</f>
        <v>1407.9500000000044</v>
      </c>
      <c r="M153" s="78">
        <f>IFERROR(INDEX('I2015'!K$5:K$73,MATCH($C153,'I2015'!$A$5:$A$73,0)),"")</f>
        <v>-898.88999999999942</v>
      </c>
      <c r="N153" s="78">
        <f>IFERROR(INDEX('I2015'!L$5:L$73,MATCH($C153,'I2015'!$A$5:$A$73,0)),"")</f>
        <v>-2993.7999999999956</v>
      </c>
      <c r="O153" s="78">
        <f>IFERROR(INDEX('I2015'!M$5:M$73,MATCH($C153,'I2015'!$A$5:$A$73,0)),"")</f>
        <v>-2437.4199999999983</v>
      </c>
      <c r="P153" s="78">
        <f>IFERROR(INDEX('I2016'!B$5:B$90,MATCH($C153,'I2016'!$A$5:$A$90,0)),"")</f>
        <v>-11688.580000000002</v>
      </c>
      <c r="Q153" s="78">
        <f>IFERROR(INDEX('I2016'!C$5:C$90,MATCH($C153,'I2016'!$A$5:$A$90,0)),"")</f>
        <v>9257.1699999999983</v>
      </c>
      <c r="R153" s="78">
        <f>IFERROR(INDEX('I2016'!D$5:D$90,MATCH($C153,'I2016'!$A$5:$A$90,0)),"")</f>
        <v>20470.550000000003</v>
      </c>
      <c r="S153" s="78">
        <f>IFERROR(INDEX('I2016'!E$5:E$90,MATCH($C153,'I2016'!$A$5:$A$90,0)),"")</f>
        <v>9256.6700000000128</v>
      </c>
      <c r="T153" s="78">
        <f>IFERROR(INDEX('I2016'!F$5:F$90,MATCH($C153,'I2016'!$A$5:$A$90,0)),"")</f>
        <v>-10859.939999999988</v>
      </c>
      <c r="U153" s="78">
        <f>IFERROR(INDEX('I2016'!G$5:G$90,MATCH($C153,'I2016'!$A$5:$A$90,0)),"")</f>
        <v>13968.389999999985</v>
      </c>
      <c r="V153" s="78">
        <f>IFERROR(INDEX('I2016'!H$5:H$90,MATCH($C153,'I2016'!$A$5:$A$90,0)),"")</f>
        <v>182.78000000002794</v>
      </c>
      <c r="W153" s="78">
        <f>IFERROR(INDEX('I2016'!I$5:I$90,MATCH($C153,'I2016'!$A$5:$A$90,0)),"")</f>
        <v>-1344.3400000000256</v>
      </c>
      <c r="X153" s="78">
        <f>IFERROR(INDEX('I2016'!J$5:J$90,MATCH($C153,'I2016'!$A$5:$A$90,0)),"")</f>
        <v>-21401.229999999981</v>
      </c>
      <c r="Y153" s="78">
        <f>IFERROR(INDEX('I2016'!K$5:K$90,MATCH($C153,'I2016'!$A$5:$A$90,0)),"")</f>
        <v>-28697.37000000001</v>
      </c>
      <c r="Z153" s="78">
        <f>IFERROR(INDEX('I2016'!L$5:L$90,MATCH($C153,'I2016'!$A$5:$A$90,0)),"")</f>
        <v>3777.6100000000006</v>
      </c>
      <c r="AA153" s="78">
        <f>IFERROR(INDEX('I2016'!M$5:M$90,MATCH($C153,'I2016'!$A$5:$A$90,0)),"")</f>
        <v>8119.3499999999767</v>
      </c>
      <c r="AB153" s="78">
        <f>IFERROR(INDEX('I2017'!B$5:B$96,MATCH($C153,'I2017'!$A$5:$A$96,0)),"")</f>
        <v>-39921.069999999992</v>
      </c>
      <c r="AC153" s="78">
        <f>IFERROR(INDEX('I2017'!C$5:C$96,MATCH($C153,'I2017'!$A$5:$A$96,0)),"")</f>
        <v>-26884.619999999995</v>
      </c>
      <c r="AD153" s="78">
        <f>IFERROR(INDEX('I2017'!D$5:D$96,MATCH($C153,'I2017'!$A$5:$A$96,0)),"")</f>
        <v>-900.6200000000099</v>
      </c>
      <c r="AE153" s="78">
        <f>IFERROR(INDEX('I2017'!E$5:E$96,MATCH($C153,'I2017'!$A$5:$A$96,0)),"")</f>
        <v>-30474.240000000005</v>
      </c>
      <c r="AF153" s="78">
        <f>IFERROR(INDEX('I2017'!F$5:F$96,MATCH($C153,'I2017'!$A$5:$A$96,0)),"")</f>
        <v>7205.5899999999965</v>
      </c>
      <c r="AG153" s="78">
        <f>IFERROR(INDEX('I2017'!G$5:G$96,MATCH($C153,'I2017'!$A$5:$A$96,0)),"")</f>
        <v>19534.87000000001</v>
      </c>
      <c r="AH153" s="78">
        <f>IFERROR(INDEX('I2017'!H$5:H$96,MATCH($C153,'I2017'!$A$5:$A$96,0)),"")</f>
        <v>-13983.089999999997</v>
      </c>
      <c r="AI153" s="78">
        <f>IFERROR(INDEX('I2017'!I$5:I$96,MATCH($C153,'I2017'!$A$5:$A$96,0)),"")</f>
        <v>6868.9400000000314</v>
      </c>
      <c r="AJ153" s="78">
        <f>IFERROR(INDEX('I2017'!J$5:J$96,MATCH($C153,'I2017'!$A$5:$A$96,0)),"")</f>
        <v>-20287.920000000042</v>
      </c>
      <c r="AK153" s="78">
        <f>IFERROR(INDEX('I2017'!K$5:K$96,MATCH($C153,'I2017'!$A$5:$A$96,0)),"")</f>
        <v>-61736.149999999994</v>
      </c>
      <c r="AL153" s="78">
        <f>IFERROR(INDEX('I2017'!L$5:L$96,MATCH($C153,'I2017'!$A$5:$A$96,0)),"")</f>
        <v>6781.7600000000093</v>
      </c>
      <c r="AM153" s="78">
        <f>IFERROR(INDEX('I2017'!M$5:M$96,MATCH($C153,'I2017'!$A$5:$A$96,0)),"")</f>
        <v>-34710.179999999993</v>
      </c>
      <c r="AN153" s="78">
        <f>IFERROR(INDEX('I2018'!B$5:B$107,MATCH($C153,'I2018'!$A$5:$A$107,0)),"")</f>
        <v>-24084.859999999957</v>
      </c>
      <c r="AO153" s="78">
        <f>IFERROR(INDEX('I2018'!C$5:C$107,MATCH($C153,'I2018'!$A$5:$A$107,0)),"")</f>
        <v>-120336.90000000002</v>
      </c>
      <c r="AP153" s="78">
        <f>IFERROR(INDEX('I2018'!D$5:D$107,MATCH($C153,'I2018'!$A$5:$A$107,0)),"")</f>
        <v>-240533.04999999987</v>
      </c>
      <c r="AQ153" s="78">
        <f>IFERROR(INDEX('I2018'!E$5:E$107,MATCH($C153,'I2018'!$A$5:$A$107,0)),"")</f>
        <v>212637.57</v>
      </c>
      <c r="AR153" s="78">
        <f>IFERROR(INDEX('I2018'!F$5:F$107,MATCH($C153,'I2018'!$A$5:$A$107,0)),"")</f>
        <v>111686.54999999993</v>
      </c>
      <c r="AS153" s="78">
        <f>IFERROR(INDEX('I2018'!G$5:G$107,MATCH($C153,'I2018'!$A$5:$A$107,0)),"")</f>
        <v>-116431.94999999995</v>
      </c>
      <c r="AT153" s="78">
        <f>IFERROR(INDEX('I2018'!H$5:H$107,MATCH($C153,'I2018'!$A$5:$A$107,0)),"")</f>
        <v>-13057.410000000149</v>
      </c>
      <c r="AU153" s="78">
        <f>IFERROR(INDEX('I2018'!I$5:I$107,MATCH($C153,'I2018'!$A$5:$A$107,0)),"")</f>
        <v>148033.96000000008</v>
      </c>
      <c r="AV153" s="78">
        <f>IFERROR(INDEX('I2018'!J$5:J$107,MATCH($C153,'I2018'!$A$5:$A$107,0)),"")</f>
        <v>-251763.92000000004</v>
      </c>
      <c r="AW153" s="78">
        <f>IFERROR(INDEX('I2018'!K$5:K$107,MATCH($C153,'I2018'!$A$5:$A$107,0)),"")</f>
        <v>-231150.30999999994</v>
      </c>
      <c r="AX153" s="78">
        <f>IFERROR(INDEX('I2018'!L$5:L$107,MATCH($C153,'I2018'!$A$5:$A$107,0)),"")</f>
        <v>-113393.52000000002</v>
      </c>
      <c r="AY153" s="78">
        <f>IFERROR(INDEX('I2018'!M$5:M$107,MATCH($C153,'I2018'!$A$5:$A$107,0)),"")</f>
        <v>-195752.88</v>
      </c>
      <c r="AZ153" s="78">
        <f>IFERROR(INDEX('I2019'!B$5:B$112,MATCH($C153,'I2019'!$A$5:$A$112,0)),"")</f>
        <v>106970.81999999983</v>
      </c>
      <c r="BA153" s="78">
        <f>IFERROR(INDEX('I2019'!C$5:C$112,MATCH($C153,'I2019'!$A$5:$A$112,0)),"")</f>
        <v>6052.3699999997625</v>
      </c>
      <c r="BB153" s="78">
        <f>IFERROR(INDEX('I2019'!D$5:D$112,MATCH($C153,'I2019'!$A$5:$A$112,0)),"")</f>
        <v>54665.840000000084</v>
      </c>
      <c r="BC153" s="78">
        <f>IFERROR(INDEX('I2019'!E$5:E$112,MATCH($C153,'I2019'!$A$5:$A$112,0)),"")</f>
        <v>15514.499999999651</v>
      </c>
      <c r="BD153" s="78">
        <f>IFERROR(INDEX('I2019'!F$5:F$112,MATCH($C153,'I2019'!$A$5:$A$112,0)),"")</f>
        <v>157664.85999999999</v>
      </c>
      <c r="BE153" s="78">
        <f>IFERROR(INDEX('I2019'!G$5:G$112,MATCH($C153,'I2019'!$A$5:$A$112,0)),"")</f>
        <v>-62478.200000000303</v>
      </c>
      <c r="BF153" s="78">
        <f>IFERROR(INDEX('I2019'!H$5:H$112,MATCH($C153,'I2019'!$A$5:$A$112,0)),"")</f>
        <v>126688.71999999986</v>
      </c>
      <c r="BG153" s="78">
        <f>IFERROR(INDEX('I2019'!I$5:I$112,MATCH($C153,'I2019'!$A$5:$A$112,0)),"")</f>
        <v>-77056.519999999786</v>
      </c>
      <c r="BH153" s="78">
        <f>IFERROR(INDEX('I2019'!J$5:J$112,MATCH($C153,'I2019'!$A$5:$A$112,0)),"")</f>
        <v>-210519.81999999972</v>
      </c>
      <c r="BI153" s="78">
        <f>IFERROR(INDEX('I2019'!K$5:K$112,MATCH($C153,'I2019'!$A$5:$A$112,0)),"")</f>
        <v>205660.96999999997</v>
      </c>
      <c r="BJ153" s="78">
        <f>IFERROR(INDEX('I2019'!L$5:L$112,MATCH($C153,'I2019'!$A$5:$A$112,0)),"")</f>
        <v>-271179.30000000005</v>
      </c>
      <c r="BK153" s="78">
        <f>IFERROR(INDEX('I2019'!M$5:M$112,MATCH($C153,'I2019'!$A$5:$A$112,0)),"")</f>
        <v>-177443.96999999997</v>
      </c>
      <c r="BL153" s="78">
        <f>IFERROR(INDEX('I2020'!B$5:B$113,MATCH($C153,'I2020'!$A$5:$A$113,0)),"")</f>
        <v>274780.45999999973</v>
      </c>
      <c r="BM153" s="78">
        <f>IFERROR(INDEX('I2020'!C$5:C$113,MATCH($C153,'I2020'!$A$5:$A$113,0)),"")</f>
        <v>-54501.39000000013</v>
      </c>
      <c r="BN153" s="78">
        <f>IFERROR(INDEX('I2020'!D$5:D$113,MATCH($C153,'I2020'!$A$5:$A$113,0)),"")</f>
        <v>474845.78000000038</v>
      </c>
      <c r="BO153" s="78">
        <f>IFERROR(INDEX('I2020'!E$5:E$113,MATCH($C153,'I2020'!$A$5:$A$113,0)),"")</f>
        <v>549680.60999999975</v>
      </c>
      <c r="BP153" s="78">
        <f>IFERROR(INDEX('I2020'!F$5:F$113,MATCH($C153,'I2020'!$A$5:$A$113,0)),"")</f>
        <v>436286.33999999962</v>
      </c>
      <c r="BQ153" s="398">
        <f>IFERROR(INDEX('I2020'!G$5:G$113,MATCH($C153,'I2020'!$A$5:$A$113,0)),"")</f>
        <v>697636.17999999982</v>
      </c>
      <c r="BR153" s="153">
        <f t="shared" ref="BQ153:CI153" si="106">BR48-BR151</f>
        <v>191681.69284834387</v>
      </c>
      <c r="BS153" s="153">
        <f t="shared" si="106"/>
        <v>176708.74236955121</v>
      </c>
      <c r="BT153" s="153">
        <f t="shared" si="106"/>
        <v>166769.97273313208</v>
      </c>
      <c r="BU153" s="153">
        <f t="shared" si="106"/>
        <v>159951.79269859218</v>
      </c>
      <c r="BV153" s="153">
        <f t="shared" si="106"/>
        <v>156444.73975610291</v>
      </c>
      <c r="BW153" s="153">
        <f t="shared" si="106"/>
        <v>155245.7218125884</v>
      </c>
      <c r="BX153" s="153">
        <f t="shared" si="106"/>
        <v>171913.09012239682</v>
      </c>
      <c r="BY153" s="153">
        <f t="shared" si="106"/>
        <v>185853.58088131063</v>
      </c>
      <c r="BZ153" s="153">
        <f t="shared" si="106"/>
        <v>198693.78757989616</v>
      </c>
      <c r="CA153" s="153">
        <f t="shared" si="106"/>
        <v>208787.40194984782</v>
      </c>
      <c r="CB153" s="153">
        <f t="shared" si="106"/>
        <v>218024.49418348772</v>
      </c>
      <c r="CC153" s="153">
        <f t="shared" si="106"/>
        <v>227175.25330377417</v>
      </c>
      <c r="CD153" s="153">
        <f t="shared" si="106"/>
        <v>234896.54878537171</v>
      </c>
      <c r="CE153" s="153">
        <f t="shared" si="106"/>
        <v>241547.81095819431</v>
      </c>
      <c r="CF153" s="153">
        <f t="shared" si="106"/>
        <v>247722.04890090181</v>
      </c>
      <c r="CG153" s="153">
        <f t="shared" si="106"/>
        <v>253490.74183391896</v>
      </c>
      <c r="CH153" s="153">
        <f t="shared" si="106"/>
        <v>258991.76466866606</v>
      </c>
      <c r="CI153" s="154">
        <f t="shared" si="106"/>
        <v>264279.84902717848</v>
      </c>
      <c r="CJ153" s="139"/>
    </row>
    <row r="154" spans="1:88" x14ac:dyDescent="0.3">
      <c r="A154" s="33"/>
      <c r="B154" s="68"/>
      <c r="C154" s="82" t="s">
        <v>105</v>
      </c>
      <c r="D154" s="100">
        <f>IFERROR(INDEX('I2015'!B$5:B$73,MATCH($C154,'I2015'!$A$5:$A$73,0)),"")</f>
        <v>0</v>
      </c>
      <c r="E154" s="100">
        <f>IFERROR(INDEX('I2015'!C$5:C$73,MATCH($C154,'I2015'!$A$5:$A$73,0)),"")</f>
        <v>0</v>
      </c>
      <c r="F154" s="100">
        <f>IFERROR(INDEX('I2015'!D$5:D$73,MATCH($C154,'I2015'!$A$5:$A$73,0)),"")</f>
        <v>0</v>
      </c>
      <c r="G154" s="100">
        <f>IFERROR(INDEX('I2015'!E$5:E$73,MATCH($C154,'I2015'!$A$5:$A$73,0)),"")</f>
        <v>0</v>
      </c>
      <c r="H154" s="100">
        <f>IFERROR(INDEX('I2015'!F$5:F$73,MATCH($C154,'I2015'!$A$5:$A$73,0)),"")</f>
        <v>0</v>
      </c>
      <c r="I154" s="100">
        <f>IFERROR(INDEX('I2015'!G$5:G$73,MATCH($C154,'I2015'!$A$5:$A$73,0)),"")</f>
        <v>0</v>
      </c>
      <c r="J154" s="100">
        <f>IFERROR(INDEX('I2015'!H$5:H$73,MATCH($C154,'I2015'!$A$5:$A$73,0)),"")</f>
        <v>0</v>
      </c>
      <c r="K154" s="100">
        <f>IFERROR(INDEX('I2015'!I$5:I$73,MATCH($C154,'I2015'!$A$5:$A$73,0)),"")</f>
        <v>0</v>
      </c>
      <c r="L154" s="100">
        <f>IFERROR(INDEX('I2015'!J$5:J$73,MATCH($C154,'I2015'!$A$5:$A$73,0)),"")</f>
        <v>0</v>
      </c>
      <c r="M154" s="100">
        <f>IFERROR(INDEX('I2015'!K$5:K$73,MATCH($C154,'I2015'!$A$5:$A$73,0)),"")</f>
        <v>0</v>
      </c>
      <c r="N154" s="100">
        <f>IFERROR(INDEX('I2015'!L$5:L$73,MATCH($C154,'I2015'!$A$5:$A$73,0)),"")</f>
        <v>0</v>
      </c>
      <c r="O154" s="100">
        <f>IFERROR(INDEX('I2015'!M$5:M$73,MATCH($C154,'I2015'!$A$5:$A$73,0)),"")</f>
        <v>0</v>
      </c>
      <c r="P154" s="100">
        <f>IFERROR(INDEX('I2016'!B$5:B$90,MATCH($C154,'I2016'!$A$5:$A$90,0)),"")</f>
        <v>0</v>
      </c>
      <c r="Q154" s="100">
        <f>IFERROR(INDEX('I2016'!C$5:C$90,MATCH($C154,'I2016'!$A$5:$A$90,0)),"")</f>
        <v>0</v>
      </c>
      <c r="R154" s="100">
        <f>IFERROR(INDEX('I2016'!D$5:D$90,MATCH($C154,'I2016'!$A$5:$A$90,0)),"")</f>
        <v>0</v>
      </c>
      <c r="S154" s="100">
        <f>IFERROR(INDEX('I2016'!E$5:E$90,MATCH($C154,'I2016'!$A$5:$A$90,0)),"")</f>
        <v>0</v>
      </c>
      <c r="T154" s="100">
        <f>IFERROR(INDEX('I2016'!F$5:F$90,MATCH($C154,'I2016'!$A$5:$A$90,0)),"")</f>
        <v>0</v>
      </c>
      <c r="U154" s="100">
        <f>IFERROR(INDEX('I2016'!G$5:G$90,MATCH($C154,'I2016'!$A$5:$A$90,0)),"")</f>
        <v>0</v>
      </c>
      <c r="V154" s="100">
        <f>IFERROR(INDEX('I2016'!H$5:H$90,MATCH($C154,'I2016'!$A$5:$A$90,0)),"")</f>
        <v>0</v>
      </c>
      <c r="W154" s="100">
        <f>IFERROR(INDEX('I2016'!I$5:I$90,MATCH($C154,'I2016'!$A$5:$A$90,0)),"")</f>
        <v>0</v>
      </c>
      <c r="X154" s="100">
        <f>IFERROR(INDEX('I2016'!J$5:J$90,MATCH($C154,'I2016'!$A$5:$A$90,0)),"")</f>
        <v>0</v>
      </c>
      <c r="Y154" s="100">
        <f>IFERROR(INDEX('I2016'!K$5:K$90,MATCH($C154,'I2016'!$A$5:$A$90,0)),"")</f>
        <v>0</v>
      </c>
      <c r="Z154" s="100">
        <f>IFERROR(INDEX('I2016'!L$5:L$90,MATCH($C154,'I2016'!$A$5:$A$90,0)),"")</f>
        <v>0</v>
      </c>
      <c r="AA154" s="100">
        <f>IFERROR(INDEX('I2016'!M$5:M$90,MATCH($C154,'I2016'!$A$5:$A$90,0)),"")</f>
        <v>0</v>
      </c>
      <c r="AB154" s="100" t="str">
        <f>IFERROR(INDEX('I2017'!B$5:B$96,MATCH($C154,'I2017'!$A$5:$A$96,0)),"")</f>
        <v/>
      </c>
      <c r="AC154" s="100" t="str">
        <f>IFERROR(INDEX('I2017'!C$5:C$96,MATCH($C154,'I2017'!$A$5:$A$96,0)),"")</f>
        <v/>
      </c>
      <c r="AD154" s="100" t="str">
        <f>IFERROR(INDEX('I2017'!D$5:D$96,MATCH($C154,'I2017'!$A$5:$A$96,0)),"")</f>
        <v/>
      </c>
      <c r="AE154" s="100" t="str">
        <f>IFERROR(INDEX('I2017'!E$5:E$96,MATCH($C154,'I2017'!$A$5:$A$96,0)),"")</f>
        <v/>
      </c>
      <c r="AF154" s="100" t="str">
        <f>IFERROR(INDEX('I2017'!F$5:F$96,MATCH($C154,'I2017'!$A$5:$A$96,0)),"")</f>
        <v/>
      </c>
      <c r="AG154" s="100" t="str">
        <f>IFERROR(INDEX('I2017'!G$5:G$96,MATCH($C154,'I2017'!$A$5:$A$96,0)),"")</f>
        <v/>
      </c>
      <c r="AH154" s="100" t="str">
        <f>IFERROR(INDEX('I2017'!H$5:H$96,MATCH($C154,'I2017'!$A$5:$A$96,0)),"")</f>
        <v/>
      </c>
      <c r="AI154" s="100" t="str">
        <f>IFERROR(INDEX('I2017'!I$5:I$96,MATCH($C154,'I2017'!$A$5:$A$96,0)),"")</f>
        <v/>
      </c>
      <c r="AJ154" s="100" t="str">
        <f>IFERROR(INDEX('I2017'!J$5:J$96,MATCH($C154,'I2017'!$A$5:$A$96,0)),"")</f>
        <v/>
      </c>
      <c r="AK154" s="100" t="str">
        <f>IFERROR(INDEX('I2017'!K$5:K$96,MATCH($C154,'I2017'!$A$5:$A$96,0)),"")</f>
        <v/>
      </c>
      <c r="AL154" s="100" t="str">
        <f>IFERROR(INDEX('I2017'!L$5:L$96,MATCH($C154,'I2017'!$A$5:$A$96,0)),"")</f>
        <v/>
      </c>
      <c r="AM154" s="100" t="str">
        <f>IFERROR(INDEX('I2017'!M$5:M$96,MATCH($C154,'I2017'!$A$5:$A$96,0)),"")</f>
        <v/>
      </c>
      <c r="AN154" s="100">
        <f>IFERROR(INDEX('I2018'!B$5:B$107,MATCH($C154,'I2018'!$A$5:$A$107,0)),"")</f>
        <v>0</v>
      </c>
      <c r="AO154" s="100">
        <f>IFERROR(INDEX('I2018'!C$5:C$107,MATCH($C154,'I2018'!$A$5:$A$107,0)),"")</f>
        <v>0</v>
      </c>
      <c r="AP154" s="100">
        <f>IFERROR(INDEX('I2018'!D$5:D$107,MATCH($C154,'I2018'!$A$5:$A$107,0)),"")</f>
        <v>0</v>
      </c>
      <c r="AQ154" s="100">
        <f>IFERROR(INDEX('I2018'!E$5:E$107,MATCH($C154,'I2018'!$A$5:$A$107,0)),"")</f>
        <v>0</v>
      </c>
      <c r="AR154" s="100">
        <f>IFERROR(INDEX('I2018'!F$5:F$107,MATCH($C154,'I2018'!$A$5:$A$107,0)),"")</f>
        <v>0</v>
      </c>
      <c r="AS154" s="100">
        <f>IFERROR(INDEX('I2018'!G$5:G$107,MATCH($C154,'I2018'!$A$5:$A$107,0)),"")</f>
        <v>0</v>
      </c>
      <c r="AT154" s="100">
        <f>IFERROR(INDEX('I2018'!H$5:H$107,MATCH($C154,'I2018'!$A$5:$A$107,0)),"")</f>
        <v>0</v>
      </c>
      <c r="AU154" s="100">
        <f>IFERROR(INDEX('I2018'!I$5:I$107,MATCH($C154,'I2018'!$A$5:$A$107,0)),"")</f>
        <v>0</v>
      </c>
      <c r="AV154" s="100">
        <f>IFERROR(INDEX('I2018'!J$5:J$107,MATCH($C154,'I2018'!$A$5:$A$107,0)),"")</f>
        <v>0</v>
      </c>
      <c r="AW154" s="100">
        <f>IFERROR(INDEX('I2018'!K$5:K$107,MATCH($C154,'I2018'!$A$5:$A$107,0)),"")</f>
        <v>0</v>
      </c>
      <c r="AX154" s="100">
        <f>IFERROR(INDEX('I2018'!L$5:L$107,MATCH($C154,'I2018'!$A$5:$A$107,0)),"")</f>
        <v>0</v>
      </c>
      <c r="AY154" s="100">
        <f>IFERROR(INDEX('I2018'!M$5:M$107,MATCH($C154,'I2018'!$A$5:$A$107,0)),"")</f>
        <v>0</v>
      </c>
      <c r="AZ154" s="100">
        <f>IFERROR(INDEX('I2019'!B$5:B$112,MATCH($C154,'I2019'!$A$5:$A$112,0)),"")</f>
        <v>0</v>
      </c>
      <c r="BA154" s="100">
        <f>IFERROR(INDEX('I2019'!C$5:C$112,MATCH($C154,'I2019'!$A$5:$A$112,0)),"")</f>
        <v>0</v>
      </c>
      <c r="BB154" s="100">
        <f>IFERROR(INDEX('I2019'!D$5:D$112,MATCH($C154,'I2019'!$A$5:$A$112,0)),"")</f>
        <v>0</v>
      </c>
      <c r="BC154" s="100">
        <f>IFERROR(INDEX('I2019'!E$5:E$112,MATCH($C154,'I2019'!$A$5:$A$112,0)),"")</f>
        <v>0</v>
      </c>
      <c r="BD154" s="100">
        <f>IFERROR(INDEX('I2019'!F$5:F$112,MATCH($C154,'I2019'!$A$5:$A$112,0)),"")</f>
        <v>0</v>
      </c>
      <c r="BE154" s="100">
        <f>IFERROR(INDEX('I2019'!G$5:G$112,MATCH($C154,'I2019'!$A$5:$A$112,0)),"")</f>
        <v>0</v>
      </c>
      <c r="BF154" s="100">
        <f>IFERROR(INDEX('I2019'!H$5:H$112,MATCH($C154,'I2019'!$A$5:$A$112,0)),"")</f>
        <v>0</v>
      </c>
      <c r="BG154" s="100">
        <f>IFERROR(INDEX('I2019'!I$5:I$112,MATCH($C154,'I2019'!$A$5:$A$112,0)),"")</f>
        <v>0</v>
      </c>
      <c r="BH154" s="100">
        <f>IFERROR(INDEX('I2019'!J$5:J$112,MATCH($C154,'I2019'!$A$5:$A$112,0)),"")</f>
        <v>0</v>
      </c>
      <c r="BI154" s="100">
        <f>IFERROR(INDEX('I2019'!K$5:K$112,MATCH($C154,'I2019'!$A$5:$A$112,0)),"")</f>
        <v>0</v>
      </c>
      <c r="BJ154" s="100">
        <f>IFERROR(INDEX('I2019'!L$5:L$112,MATCH($C154,'I2019'!$A$5:$A$112,0)),"")</f>
        <v>0</v>
      </c>
      <c r="BK154" s="100">
        <f>IFERROR(INDEX('I2019'!M$5:M$112,MATCH($C154,'I2019'!$A$5:$A$112,0)),"")</f>
        <v>0</v>
      </c>
      <c r="BL154" s="100">
        <f>IFERROR(INDEX('I2020'!B$5:B$113,MATCH($C154,'I2020'!$A$5:$A$113,0)),"")</f>
        <v>0</v>
      </c>
      <c r="BM154" s="100">
        <f>IFERROR(INDEX('I2020'!C$5:C$113,MATCH($C154,'I2020'!$A$5:$A$113,0)),"")</f>
        <v>0</v>
      </c>
      <c r="BN154" s="100">
        <f>IFERROR(INDEX('I2020'!D$5:D$113,MATCH($C154,'I2020'!$A$5:$A$113,0)),"")</f>
        <v>0</v>
      </c>
      <c r="BO154" s="100">
        <f>IFERROR(INDEX('I2020'!E$5:E$113,MATCH($C154,'I2020'!$A$5:$A$113,0)),"")</f>
        <v>0</v>
      </c>
      <c r="BP154" s="100">
        <f>IFERROR(INDEX('I2020'!F$5:F$113,MATCH($C154,'I2020'!$A$5:$A$113,0)),"")</f>
        <v>0</v>
      </c>
      <c r="BQ154" s="395">
        <f>IFERROR(INDEX('I2020'!G$5:G$113,MATCH($C154,'I2020'!$A$5:$A$113,0)),"")</f>
        <v>0</v>
      </c>
      <c r="BR154" s="148"/>
      <c r="BS154" s="148"/>
      <c r="BT154" s="148"/>
      <c r="BU154" s="148"/>
      <c r="BV154" s="148"/>
      <c r="BW154" s="148"/>
      <c r="BX154" s="148"/>
      <c r="BY154" s="148"/>
      <c r="BZ154" s="148"/>
      <c r="CA154" s="148"/>
      <c r="CB154" s="148"/>
      <c r="CC154" s="148"/>
      <c r="CD154" s="148"/>
      <c r="CE154" s="148"/>
      <c r="CF154" s="148"/>
      <c r="CG154" s="148"/>
      <c r="CH154" s="148"/>
      <c r="CI154" s="149"/>
      <c r="CJ154" s="134"/>
    </row>
    <row r="155" spans="1:88" x14ac:dyDescent="0.3">
      <c r="A155" s="33"/>
      <c r="B155" s="68"/>
      <c r="C155" s="21" t="s">
        <v>106</v>
      </c>
      <c r="D155" s="102">
        <f>IFERROR(INDEX('I2015'!B$5:B$73,MATCH($C155,'I2015'!$A$5:$A$73,0)),"")</f>
        <v>0</v>
      </c>
      <c r="E155" s="102">
        <f>IFERROR(INDEX('I2015'!C$5:C$73,MATCH($C155,'I2015'!$A$5:$A$73,0)),"")</f>
        <v>0</v>
      </c>
      <c r="F155" s="102">
        <f>IFERROR(INDEX('I2015'!D$5:D$73,MATCH($C155,'I2015'!$A$5:$A$73,0)),"")</f>
        <v>0.01</v>
      </c>
      <c r="G155" s="102">
        <f>IFERROR(INDEX('I2015'!E$5:E$73,MATCH($C155,'I2015'!$A$5:$A$73,0)),"")</f>
        <v>0</v>
      </c>
      <c r="H155" s="102">
        <f>IFERROR(INDEX('I2015'!F$5:F$73,MATCH($C155,'I2015'!$A$5:$A$73,0)),"")</f>
        <v>0</v>
      </c>
      <c r="I155" s="102">
        <f>IFERROR(INDEX('I2015'!G$5:G$73,MATCH($C155,'I2015'!$A$5:$A$73,0)),"")</f>
        <v>0</v>
      </c>
      <c r="J155" s="102">
        <f>IFERROR(INDEX('I2015'!H$5:H$73,MATCH($C155,'I2015'!$A$5:$A$73,0)),"")</f>
        <v>0</v>
      </c>
      <c r="K155" s="102">
        <f>IFERROR(INDEX('I2015'!I$5:I$73,MATCH($C155,'I2015'!$A$5:$A$73,0)),"")</f>
        <v>0</v>
      </c>
      <c r="L155" s="102">
        <f>IFERROR(INDEX('I2015'!J$5:J$73,MATCH($C155,'I2015'!$A$5:$A$73,0)),"")</f>
        <v>0</v>
      </c>
      <c r="M155" s="102">
        <f>IFERROR(INDEX('I2015'!K$5:K$73,MATCH($C155,'I2015'!$A$5:$A$73,0)),"")</f>
        <v>0.01</v>
      </c>
      <c r="N155" s="102">
        <f>IFERROR(INDEX('I2015'!L$5:L$73,MATCH($C155,'I2015'!$A$5:$A$73,0)),"")</f>
        <v>0</v>
      </c>
      <c r="O155" s="102">
        <f>IFERROR(INDEX('I2015'!M$5:M$73,MATCH($C155,'I2015'!$A$5:$A$73,0)),"")</f>
        <v>0.01</v>
      </c>
      <c r="P155" s="102">
        <f>IFERROR(INDEX('I2016'!B$5:B$90,MATCH($C155,'I2016'!$A$5:$A$90,0)),"")</f>
        <v>0.28000000000000003</v>
      </c>
      <c r="Q155" s="102">
        <f>IFERROR(INDEX('I2016'!C$5:C$90,MATCH($C155,'I2016'!$A$5:$A$90,0)),"")</f>
        <v>0.43</v>
      </c>
      <c r="R155" s="102">
        <f>IFERROR(INDEX('I2016'!D$5:D$90,MATCH($C155,'I2016'!$A$5:$A$90,0)),"")</f>
        <v>0.36</v>
      </c>
      <c r="S155" s="102">
        <f>IFERROR(INDEX('I2016'!E$5:E$90,MATCH($C155,'I2016'!$A$5:$A$90,0)),"")</f>
        <v>0.05</v>
      </c>
      <c r="T155" s="102">
        <f>IFERROR(INDEX('I2016'!F$5:F$90,MATCH($C155,'I2016'!$A$5:$A$90,0)),"")</f>
        <v>0.56999999999999995</v>
      </c>
      <c r="U155" s="102">
        <f>IFERROR(INDEX('I2016'!G$5:G$90,MATCH($C155,'I2016'!$A$5:$A$90,0)),"")</f>
        <v>0.54</v>
      </c>
      <c r="V155" s="102">
        <f>IFERROR(INDEX('I2016'!H$5:H$90,MATCH($C155,'I2016'!$A$5:$A$90,0)),"")</f>
        <v>0.54</v>
      </c>
      <c r="W155" s="102">
        <f>IFERROR(INDEX('I2016'!I$5:I$90,MATCH($C155,'I2016'!$A$5:$A$90,0)),"")</f>
        <v>0.17</v>
      </c>
      <c r="X155" s="102">
        <f>IFERROR(INDEX('I2016'!J$5:J$90,MATCH($C155,'I2016'!$A$5:$A$90,0)),"")</f>
        <v>0</v>
      </c>
      <c r="Y155" s="102">
        <f>IFERROR(INDEX('I2016'!K$5:K$90,MATCH($C155,'I2016'!$A$5:$A$90,0)),"")</f>
        <v>0</v>
      </c>
      <c r="Z155" s="102">
        <f>IFERROR(INDEX('I2016'!L$5:L$90,MATCH($C155,'I2016'!$A$5:$A$90,0)),"")</f>
        <v>0</v>
      </c>
      <c r="AA155" s="102">
        <f>IFERROR(INDEX('I2016'!M$5:M$90,MATCH($C155,'I2016'!$A$5:$A$90,0)),"")</f>
        <v>0</v>
      </c>
      <c r="AB155" s="102" t="str">
        <f>IFERROR(INDEX('I2017'!B$5:B$96,MATCH($C155,'I2017'!$A$5:$A$96,0)),"")</f>
        <v/>
      </c>
      <c r="AC155" s="102" t="str">
        <f>IFERROR(INDEX('I2017'!C$5:C$96,MATCH($C155,'I2017'!$A$5:$A$96,0)),"")</f>
        <v/>
      </c>
      <c r="AD155" s="102" t="str">
        <f>IFERROR(INDEX('I2017'!D$5:D$96,MATCH($C155,'I2017'!$A$5:$A$96,0)),"")</f>
        <v/>
      </c>
      <c r="AE155" s="102" t="str">
        <f>IFERROR(INDEX('I2017'!E$5:E$96,MATCH($C155,'I2017'!$A$5:$A$96,0)),"")</f>
        <v/>
      </c>
      <c r="AF155" s="102" t="str">
        <f>IFERROR(INDEX('I2017'!F$5:F$96,MATCH($C155,'I2017'!$A$5:$A$96,0)),"")</f>
        <v/>
      </c>
      <c r="AG155" s="102" t="str">
        <f>IFERROR(INDEX('I2017'!G$5:G$96,MATCH($C155,'I2017'!$A$5:$A$96,0)),"")</f>
        <v/>
      </c>
      <c r="AH155" s="102" t="str">
        <f>IFERROR(INDEX('I2017'!H$5:H$96,MATCH($C155,'I2017'!$A$5:$A$96,0)),"")</f>
        <v/>
      </c>
      <c r="AI155" s="102" t="str">
        <f>IFERROR(INDEX('I2017'!I$5:I$96,MATCH($C155,'I2017'!$A$5:$A$96,0)),"")</f>
        <v/>
      </c>
      <c r="AJ155" s="102" t="str">
        <f>IFERROR(INDEX('I2017'!J$5:J$96,MATCH($C155,'I2017'!$A$5:$A$96,0)),"")</f>
        <v/>
      </c>
      <c r="AK155" s="102" t="str">
        <f>IFERROR(INDEX('I2017'!K$5:K$96,MATCH($C155,'I2017'!$A$5:$A$96,0)),"")</f>
        <v/>
      </c>
      <c r="AL155" s="102" t="str">
        <f>IFERROR(INDEX('I2017'!L$5:L$96,MATCH($C155,'I2017'!$A$5:$A$96,0)),"")</f>
        <v/>
      </c>
      <c r="AM155" s="102" t="str">
        <f>IFERROR(INDEX('I2017'!M$5:M$96,MATCH($C155,'I2017'!$A$5:$A$96,0)),"")</f>
        <v/>
      </c>
      <c r="AN155" s="102">
        <f>IFERROR(INDEX('I2018'!B$5:B$107,MATCH($C155,'I2018'!$A$5:$A$107,0)),"")</f>
        <v>7.43</v>
      </c>
      <c r="AO155" s="102">
        <f>IFERROR(INDEX('I2018'!C$5:C$107,MATCH($C155,'I2018'!$A$5:$A$107,0)),"")</f>
        <v>12.45</v>
      </c>
      <c r="AP155" s="102">
        <f>IFERROR(INDEX('I2018'!D$5:D$107,MATCH($C155,'I2018'!$A$5:$A$107,0)),"")</f>
        <v>8.6300000000000008</v>
      </c>
      <c r="AQ155" s="102">
        <f>IFERROR(INDEX('I2018'!E$5:E$107,MATCH($C155,'I2018'!$A$5:$A$107,0)),"")</f>
        <v>6.08</v>
      </c>
      <c r="AR155" s="102">
        <f>IFERROR(INDEX('I2018'!F$5:F$107,MATCH($C155,'I2018'!$A$5:$A$107,0)),"")</f>
        <v>8.18</v>
      </c>
      <c r="AS155" s="102">
        <f>IFERROR(INDEX('I2018'!G$5:G$107,MATCH($C155,'I2018'!$A$5:$A$107,0)),"")</f>
        <v>11.1</v>
      </c>
      <c r="AT155" s="102">
        <f>IFERROR(INDEX('I2018'!H$5:H$107,MATCH($C155,'I2018'!$A$5:$A$107,0)),"")</f>
        <v>21.12</v>
      </c>
      <c r="AU155" s="102">
        <f>IFERROR(INDEX('I2018'!I$5:I$107,MATCH($C155,'I2018'!$A$5:$A$107,0)),"")</f>
        <v>24.38</v>
      </c>
      <c r="AV155" s="102">
        <f>IFERROR(INDEX('I2018'!J$5:J$107,MATCH($C155,'I2018'!$A$5:$A$107,0)),"")</f>
        <v>22.11</v>
      </c>
      <c r="AW155" s="102">
        <f>IFERROR(INDEX('I2018'!K$5:K$107,MATCH($C155,'I2018'!$A$5:$A$107,0)),"")</f>
        <v>17.93</v>
      </c>
      <c r="AX155" s="102">
        <f>IFERROR(INDEX('I2018'!L$5:L$107,MATCH($C155,'I2018'!$A$5:$A$107,0)),"")</f>
        <v>7.5</v>
      </c>
      <c r="AY155" s="102">
        <f>IFERROR(INDEX('I2018'!M$5:M$107,MATCH($C155,'I2018'!$A$5:$A$107,0)),"")</f>
        <v>3.49</v>
      </c>
      <c r="AZ155" s="102">
        <f>IFERROR(INDEX('I2019'!B$5:B$112,MATCH($C155,'I2019'!$A$5:$A$112,0)),"")</f>
        <v>2.81</v>
      </c>
      <c r="BA155" s="102">
        <f>IFERROR(INDEX('I2019'!C$5:C$112,MATCH($C155,'I2019'!$A$5:$A$112,0)),"")</f>
        <v>2.5299999999999998</v>
      </c>
      <c r="BB155" s="102">
        <f>IFERROR(INDEX('I2019'!D$5:D$112,MATCH($C155,'I2019'!$A$5:$A$112,0)),"")</f>
        <v>2.81</v>
      </c>
      <c r="BC155" s="102">
        <f>IFERROR(INDEX('I2019'!E$5:E$112,MATCH($C155,'I2019'!$A$5:$A$112,0)),"")</f>
        <v>2.72</v>
      </c>
      <c r="BD155" s="102">
        <f>IFERROR(INDEX('I2019'!F$5:F$112,MATCH($C155,'I2019'!$A$5:$A$112,0)),"")</f>
        <v>2.8</v>
      </c>
      <c r="BE155" s="102">
        <f>IFERROR(INDEX('I2019'!G$5:G$112,MATCH($C155,'I2019'!$A$5:$A$112,0)),"")</f>
        <v>2.72</v>
      </c>
      <c r="BF155" s="102">
        <f>IFERROR(INDEX('I2019'!H$5:H$112,MATCH($C155,'I2019'!$A$5:$A$112,0)),"")</f>
        <v>2.81</v>
      </c>
      <c r="BG155" s="102">
        <f>IFERROR(INDEX('I2019'!I$5:I$112,MATCH($C155,'I2019'!$A$5:$A$112,0)),"")</f>
        <v>2.8</v>
      </c>
      <c r="BH155" s="102">
        <f>IFERROR(INDEX('I2019'!J$5:J$112,MATCH($C155,'I2019'!$A$5:$A$112,0)),"")</f>
        <v>2.72</v>
      </c>
      <c r="BI155" s="102">
        <f>IFERROR(INDEX('I2019'!K$5:K$112,MATCH($C155,'I2019'!$A$5:$A$112,0)),"")</f>
        <v>2.16</v>
      </c>
      <c r="BJ155" s="102">
        <f>IFERROR(INDEX('I2019'!L$5:L$112,MATCH($C155,'I2019'!$A$5:$A$112,0)),"")</f>
        <v>2.6</v>
      </c>
      <c r="BK155" s="102">
        <f>IFERROR(INDEX('I2019'!M$5:M$112,MATCH($C155,'I2019'!$A$5:$A$112,0)),"")</f>
        <v>2.38</v>
      </c>
      <c r="BL155" s="102">
        <f>IFERROR(INDEX('I2020'!B$5:B$113,MATCH($C155,'I2020'!$A$5:$A$113,0)),"")</f>
        <v>2.54</v>
      </c>
      <c r="BM155" s="102">
        <f>IFERROR(INDEX('I2020'!C$5:C$113,MATCH($C155,'I2020'!$A$5:$A$113,0)),"")</f>
        <v>2.38</v>
      </c>
      <c r="BN155" s="102">
        <f>IFERROR(INDEX('I2020'!D$5:D$113,MATCH($C155,'I2020'!$A$5:$A$113,0)),"")</f>
        <v>1.44</v>
      </c>
      <c r="BO155" s="102">
        <f>IFERROR(INDEX('I2020'!E$5:E$113,MATCH($C155,'I2020'!$A$5:$A$113,0)),"")</f>
        <v>3.44</v>
      </c>
      <c r="BP155" s="102">
        <f>IFERROR(INDEX('I2020'!F$5:F$113,MATCH($C155,'I2020'!$A$5:$A$113,0)),"")</f>
        <v>27.06</v>
      </c>
      <c r="BQ155" s="392">
        <f>IFERROR(INDEX('I2020'!G$5:G$113,MATCH($C155,'I2020'!$A$5:$A$113,0)),"")</f>
        <v>34.43</v>
      </c>
      <c r="BR155" s="64">
        <f t="shared" ref="BQ155:CI155" si="107">AVERAGE(BF155:BQ155)</f>
        <v>7.2299999999999995</v>
      </c>
      <c r="BS155" s="64">
        <f t="shared" si="107"/>
        <v>7.5983333333333327</v>
      </c>
      <c r="BT155" s="64">
        <f t="shared" si="107"/>
        <v>7.9981944444444446</v>
      </c>
      <c r="BU155" s="64">
        <f t="shared" si="107"/>
        <v>8.4380439814814832</v>
      </c>
      <c r="BV155" s="64">
        <f t="shared" si="107"/>
        <v>8.961214313271606</v>
      </c>
      <c r="BW155" s="64">
        <f t="shared" si="107"/>
        <v>9.4913155060442396</v>
      </c>
      <c r="BX155" s="64">
        <f t="shared" si="107"/>
        <v>10.083925131547927</v>
      </c>
      <c r="BY155" s="64">
        <f t="shared" si="107"/>
        <v>10.712585559176921</v>
      </c>
      <c r="BZ155" s="64">
        <f t="shared" si="107"/>
        <v>11.406967689108333</v>
      </c>
      <c r="CA155" s="64">
        <f t="shared" si="107"/>
        <v>12.23754832986736</v>
      </c>
      <c r="CB155" s="64">
        <f t="shared" si="107"/>
        <v>12.970677357356307</v>
      </c>
      <c r="CC155" s="64">
        <f t="shared" si="107"/>
        <v>11.796567137135995</v>
      </c>
      <c r="CD155" s="64">
        <f t="shared" si="107"/>
        <v>9.9104477318973299</v>
      </c>
      <c r="CE155" s="64">
        <f t="shared" si="107"/>
        <v>10.133818376222107</v>
      </c>
      <c r="CF155" s="64">
        <f t="shared" si="107"/>
        <v>10.345108796462839</v>
      </c>
      <c r="CG155" s="64">
        <f t="shared" si="107"/>
        <v>10.540684992464373</v>
      </c>
      <c r="CH155" s="64">
        <f t="shared" si="107"/>
        <v>10.715905076712945</v>
      </c>
      <c r="CI155" s="124">
        <f t="shared" si="107"/>
        <v>10.862129306999725</v>
      </c>
      <c r="CJ155" s="134"/>
    </row>
    <row r="156" spans="1:88" x14ac:dyDescent="0.3">
      <c r="A156" s="33"/>
      <c r="B156" s="68"/>
      <c r="C156" s="21" t="s">
        <v>161</v>
      </c>
      <c r="D156" s="22" t="str">
        <f>IFERROR(INDEX('I2015'!B$5:B$73,MATCH($C156,'I2015'!$A$5:$A$73,0)),"")</f>
        <v/>
      </c>
      <c r="E156" s="22" t="str">
        <f>IFERROR(INDEX('I2015'!C$5:C$73,MATCH($C156,'I2015'!$A$5:$A$73,0)),"")</f>
        <v/>
      </c>
      <c r="F156" s="22" t="str">
        <f>IFERROR(INDEX('I2015'!D$5:D$73,MATCH($C156,'I2015'!$A$5:$A$73,0)),"")</f>
        <v/>
      </c>
      <c r="G156" s="22" t="str">
        <f>IFERROR(INDEX('I2015'!E$5:E$73,MATCH($C156,'I2015'!$A$5:$A$73,0)),"")</f>
        <v/>
      </c>
      <c r="H156" s="22" t="str">
        <f>IFERROR(INDEX('I2015'!F$5:F$73,MATCH($C156,'I2015'!$A$5:$A$73,0)),"")</f>
        <v/>
      </c>
      <c r="I156" s="22" t="str">
        <f>IFERROR(INDEX('I2015'!G$5:G$73,MATCH($C156,'I2015'!$A$5:$A$73,0)),"")</f>
        <v/>
      </c>
      <c r="J156" s="22" t="str">
        <f>IFERROR(INDEX('I2015'!H$5:H$73,MATCH($C156,'I2015'!$A$5:$A$73,0)),"")</f>
        <v/>
      </c>
      <c r="K156" s="22" t="str">
        <f>IFERROR(INDEX('I2015'!I$5:I$73,MATCH($C156,'I2015'!$A$5:$A$73,0)),"")</f>
        <v/>
      </c>
      <c r="L156" s="22" t="str">
        <f>IFERROR(INDEX('I2015'!J$5:J$73,MATCH($C156,'I2015'!$A$5:$A$73,0)),"")</f>
        <v/>
      </c>
      <c r="M156" s="22" t="str">
        <f>IFERROR(INDEX('I2015'!K$5:K$73,MATCH($C156,'I2015'!$A$5:$A$73,0)),"")</f>
        <v/>
      </c>
      <c r="N156" s="22" t="str">
        <f>IFERROR(INDEX('I2015'!L$5:L$73,MATCH($C156,'I2015'!$A$5:$A$73,0)),"")</f>
        <v/>
      </c>
      <c r="O156" s="22" t="str">
        <f>IFERROR(INDEX('I2015'!M$5:M$73,MATCH($C156,'I2015'!$A$5:$A$73,0)),"")</f>
        <v/>
      </c>
      <c r="P156" s="22">
        <f>IFERROR(INDEX('I2016'!B$5:B$90,MATCH($C156,'I2016'!$A$5:$A$90,0)),"")</f>
        <v>0</v>
      </c>
      <c r="Q156" s="22">
        <f>IFERROR(INDEX('I2016'!C$5:C$90,MATCH($C156,'I2016'!$A$5:$A$90,0)),"")</f>
        <v>0</v>
      </c>
      <c r="R156" s="22">
        <f>IFERROR(INDEX('I2016'!D$5:D$90,MATCH($C156,'I2016'!$A$5:$A$90,0)),"")</f>
        <v>0</v>
      </c>
      <c r="S156" s="22">
        <f>IFERROR(INDEX('I2016'!E$5:E$90,MATCH($C156,'I2016'!$A$5:$A$90,0)),"")</f>
        <v>26.13</v>
      </c>
      <c r="T156" s="22">
        <f>IFERROR(INDEX('I2016'!F$5:F$90,MATCH($C156,'I2016'!$A$5:$A$90,0)),"")</f>
        <v>0</v>
      </c>
      <c r="U156" s="22">
        <f>IFERROR(INDEX('I2016'!G$5:G$90,MATCH($C156,'I2016'!$A$5:$A$90,0)),"")</f>
        <v>0</v>
      </c>
      <c r="V156" s="22">
        <f>IFERROR(INDEX('I2016'!H$5:H$90,MATCH($C156,'I2016'!$A$5:$A$90,0)),"")</f>
        <v>0.01</v>
      </c>
      <c r="W156" s="22">
        <f>IFERROR(INDEX('I2016'!I$5:I$90,MATCH($C156,'I2016'!$A$5:$A$90,0)),"")</f>
        <v>0</v>
      </c>
      <c r="X156" s="22">
        <f>IFERROR(INDEX('I2016'!J$5:J$90,MATCH($C156,'I2016'!$A$5:$A$90,0)),"")</f>
        <v>0</v>
      </c>
      <c r="Y156" s="22">
        <f>IFERROR(INDEX('I2016'!K$5:K$90,MATCH($C156,'I2016'!$A$5:$A$90,0)),"")</f>
        <v>247.14</v>
      </c>
      <c r="Z156" s="22">
        <f>IFERROR(INDEX('I2016'!L$5:L$90,MATCH($C156,'I2016'!$A$5:$A$90,0)),"")</f>
        <v>55.97</v>
      </c>
      <c r="AA156" s="22">
        <f>IFERROR(INDEX('I2016'!M$5:M$90,MATCH($C156,'I2016'!$A$5:$A$90,0)),"")</f>
        <v>0</v>
      </c>
      <c r="AB156" s="22" t="str">
        <f>IFERROR(INDEX('I2017'!B$5:B$96,MATCH($C156,'I2017'!$A$5:$A$96,0)),"")</f>
        <v/>
      </c>
      <c r="AC156" s="22" t="str">
        <f>IFERROR(INDEX('I2017'!C$5:C$96,MATCH($C156,'I2017'!$A$5:$A$96,0)),"")</f>
        <v/>
      </c>
      <c r="AD156" s="22" t="str">
        <f>IFERROR(INDEX('I2017'!D$5:D$96,MATCH($C156,'I2017'!$A$5:$A$96,0)),"")</f>
        <v/>
      </c>
      <c r="AE156" s="22" t="str">
        <f>IFERROR(INDEX('I2017'!E$5:E$96,MATCH($C156,'I2017'!$A$5:$A$96,0)),"")</f>
        <v/>
      </c>
      <c r="AF156" s="22" t="str">
        <f>IFERROR(INDEX('I2017'!F$5:F$96,MATCH($C156,'I2017'!$A$5:$A$96,0)),"")</f>
        <v/>
      </c>
      <c r="AG156" s="22" t="str">
        <f>IFERROR(INDEX('I2017'!G$5:G$96,MATCH($C156,'I2017'!$A$5:$A$96,0)),"")</f>
        <v/>
      </c>
      <c r="AH156" s="22" t="str">
        <f>IFERROR(INDEX('I2017'!H$5:H$96,MATCH($C156,'I2017'!$A$5:$A$96,0)),"")</f>
        <v/>
      </c>
      <c r="AI156" s="22" t="str">
        <f>IFERROR(INDEX('I2017'!I$5:I$96,MATCH($C156,'I2017'!$A$5:$A$96,0)),"")</f>
        <v/>
      </c>
      <c r="AJ156" s="22" t="str">
        <f>IFERROR(INDEX('I2017'!J$5:J$96,MATCH($C156,'I2017'!$A$5:$A$96,0)),"")</f>
        <v/>
      </c>
      <c r="AK156" s="22" t="str">
        <f>IFERROR(INDEX('I2017'!K$5:K$96,MATCH($C156,'I2017'!$A$5:$A$96,0)),"")</f>
        <v/>
      </c>
      <c r="AL156" s="22" t="str">
        <f>IFERROR(INDEX('I2017'!L$5:L$96,MATCH($C156,'I2017'!$A$5:$A$96,0)),"")</f>
        <v/>
      </c>
      <c r="AM156" s="22" t="str">
        <f>IFERROR(INDEX('I2017'!M$5:M$96,MATCH($C156,'I2017'!$A$5:$A$96,0)),"")</f>
        <v/>
      </c>
      <c r="AN156" s="22" t="str">
        <f>IFERROR(INDEX('I2018'!B$5:B$107,MATCH($C156,'I2018'!$A$5:$A$107,0)),"")</f>
        <v/>
      </c>
      <c r="AO156" s="22" t="str">
        <f>IFERROR(INDEX('I2018'!C$5:C$107,MATCH($C156,'I2018'!$A$5:$A$107,0)),"")</f>
        <v/>
      </c>
      <c r="AP156" s="22" t="str">
        <f>IFERROR(INDEX('I2018'!D$5:D$107,MATCH($C156,'I2018'!$A$5:$A$107,0)),"")</f>
        <v/>
      </c>
      <c r="AQ156" s="22" t="str">
        <f>IFERROR(INDEX('I2018'!E$5:E$107,MATCH($C156,'I2018'!$A$5:$A$107,0)),"")</f>
        <v/>
      </c>
      <c r="AR156" s="22" t="str">
        <f>IFERROR(INDEX('I2018'!F$5:F$107,MATCH($C156,'I2018'!$A$5:$A$107,0)),"")</f>
        <v/>
      </c>
      <c r="AS156" s="22" t="str">
        <f>IFERROR(INDEX('I2018'!G$5:G$107,MATCH($C156,'I2018'!$A$5:$A$107,0)),"")</f>
        <v/>
      </c>
      <c r="AT156" s="22" t="str">
        <f>IFERROR(INDEX('I2018'!H$5:H$107,MATCH($C156,'I2018'!$A$5:$A$107,0)),"")</f>
        <v/>
      </c>
      <c r="AU156" s="22" t="str">
        <f>IFERROR(INDEX('I2018'!I$5:I$107,MATCH($C156,'I2018'!$A$5:$A$107,0)),"")</f>
        <v/>
      </c>
      <c r="AV156" s="22" t="str">
        <f>IFERROR(INDEX('I2018'!J$5:J$107,MATCH($C156,'I2018'!$A$5:$A$107,0)),"")</f>
        <v/>
      </c>
      <c r="AW156" s="22" t="str">
        <f>IFERROR(INDEX('I2018'!K$5:K$107,MATCH($C156,'I2018'!$A$5:$A$107,0)),"")</f>
        <v/>
      </c>
      <c r="AX156" s="22" t="str">
        <f>IFERROR(INDEX('I2018'!L$5:L$107,MATCH($C156,'I2018'!$A$5:$A$107,0)),"")</f>
        <v/>
      </c>
      <c r="AY156" s="22" t="str">
        <f>IFERROR(INDEX('I2018'!M$5:M$107,MATCH($C156,'I2018'!$A$5:$A$107,0)),"")</f>
        <v/>
      </c>
      <c r="AZ156" s="22">
        <f>IFERROR(INDEX('I2019'!B$5:B$112,MATCH($C156,'I2019'!$A$5:$A$112,0)),"")</f>
        <v>0</v>
      </c>
      <c r="BA156" s="22">
        <f>IFERROR(INDEX('I2019'!C$5:C$112,MATCH($C156,'I2019'!$A$5:$A$112,0)),"")</f>
        <v>0</v>
      </c>
      <c r="BB156" s="22">
        <f>IFERROR(INDEX('I2019'!D$5:D$112,MATCH($C156,'I2019'!$A$5:$A$112,0)),"")</f>
        <v>0</v>
      </c>
      <c r="BC156" s="22">
        <f>IFERROR(INDEX('I2019'!E$5:E$112,MATCH($C156,'I2019'!$A$5:$A$112,0)),"")</f>
        <v>0</v>
      </c>
      <c r="BD156" s="22">
        <f>IFERROR(INDEX('I2019'!F$5:F$112,MATCH($C156,'I2019'!$A$5:$A$112,0)),"")</f>
        <v>0</v>
      </c>
      <c r="BE156" s="22">
        <f>IFERROR(INDEX('I2019'!G$5:G$112,MATCH($C156,'I2019'!$A$5:$A$112,0)),"")</f>
        <v>0</v>
      </c>
      <c r="BF156" s="22">
        <f>IFERROR(INDEX('I2019'!H$5:H$112,MATCH($C156,'I2019'!$A$5:$A$112,0)),"")</f>
        <v>315.01</v>
      </c>
      <c r="BG156" s="22">
        <f>IFERROR(INDEX('I2019'!I$5:I$112,MATCH($C156,'I2019'!$A$5:$A$112,0)),"")</f>
        <v>0</v>
      </c>
      <c r="BH156" s="22">
        <f>IFERROR(INDEX('I2019'!J$5:J$112,MATCH($C156,'I2019'!$A$5:$A$112,0)),"")</f>
        <v>0</v>
      </c>
      <c r="BI156" s="22">
        <f>IFERROR(INDEX('I2019'!K$5:K$112,MATCH($C156,'I2019'!$A$5:$A$112,0)),"")</f>
        <v>0</v>
      </c>
      <c r="BJ156" s="22">
        <f>IFERROR(INDEX('I2019'!L$5:L$112,MATCH($C156,'I2019'!$A$5:$A$112,0)),"")</f>
        <v>0</v>
      </c>
      <c r="BK156" s="22">
        <f>IFERROR(INDEX('I2019'!M$5:M$112,MATCH($C156,'I2019'!$A$5:$A$112,0)),"")</f>
        <v>0</v>
      </c>
      <c r="BL156" s="22" t="str">
        <f>IFERROR(INDEX('I2020'!B$5:B$113,MATCH($C156,'I2020'!$A$5:$A$113,0)),"")</f>
        <v/>
      </c>
      <c r="BM156" s="22" t="str">
        <f>IFERROR(INDEX('I2020'!C$5:C$113,MATCH($C156,'I2020'!$A$5:$A$113,0)),"")</f>
        <v/>
      </c>
      <c r="BN156" s="22" t="str">
        <f>IFERROR(INDEX('I2020'!D$5:D$113,MATCH($C156,'I2020'!$A$5:$A$113,0)),"")</f>
        <v/>
      </c>
      <c r="BO156" s="22" t="str">
        <f>IFERROR(INDEX('I2020'!E$5:E$113,MATCH($C156,'I2020'!$A$5:$A$113,0)),"")</f>
        <v/>
      </c>
      <c r="BP156" s="22" t="str">
        <f>IFERROR(INDEX('I2020'!F$5:F$113,MATCH($C156,'I2020'!$A$5:$A$113,0)),"")</f>
        <v/>
      </c>
      <c r="BQ156" s="393" t="str">
        <f>IFERROR(INDEX('I2020'!G$5:G$113,MATCH($C156,'I2020'!$A$5:$A$113,0)),"")</f>
        <v/>
      </c>
      <c r="BR156" s="65">
        <f t="shared" ref="BQ156:CI156" si="108">AVERAGE(BF156:BQ156)</f>
        <v>52.501666666666665</v>
      </c>
      <c r="BS156" s="65">
        <f t="shared" si="108"/>
        <v>8.7502777777777769</v>
      </c>
      <c r="BT156" s="65">
        <f t="shared" si="108"/>
        <v>10.208657407407406</v>
      </c>
      <c r="BU156" s="65">
        <f t="shared" si="108"/>
        <v>11.910100308641974</v>
      </c>
      <c r="BV156" s="65">
        <f t="shared" si="108"/>
        <v>13.89511702674897</v>
      </c>
      <c r="BW156" s="65">
        <f t="shared" si="108"/>
        <v>16.210969864540463</v>
      </c>
      <c r="BX156" s="65">
        <f t="shared" si="108"/>
        <v>18.912798175297208</v>
      </c>
      <c r="BY156" s="65">
        <f t="shared" si="108"/>
        <v>18.912798175297208</v>
      </c>
      <c r="BZ156" s="65">
        <f t="shared" si="108"/>
        <v>18.912798175297208</v>
      </c>
      <c r="CA156" s="65">
        <f t="shared" si="108"/>
        <v>18.912798175297208</v>
      </c>
      <c r="CB156" s="65">
        <f t="shared" si="108"/>
        <v>18.912798175297208</v>
      </c>
      <c r="CC156" s="65">
        <f t="shared" si="108"/>
        <v>18.912798175297208</v>
      </c>
      <c r="CD156" s="65">
        <f t="shared" si="108"/>
        <v>18.912798175297208</v>
      </c>
      <c r="CE156" s="65">
        <f t="shared" si="108"/>
        <v>16.113725801016422</v>
      </c>
      <c r="CF156" s="65">
        <f t="shared" si="108"/>
        <v>16.727346469619643</v>
      </c>
      <c r="CG156" s="65">
        <f t="shared" si="108"/>
        <v>17.270570558137329</v>
      </c>
      <c r="CH156" s="65">
        <f t="shared" si="108"/>
        <v>17.717276412261942</v>
      </c>
      <c r="CI156" s="125">
        <f t="shared" si="108"/>
        <v>18.035789694388026</v>
      </c>
      <c r="CJ156" s="134"/>
    </row>
    <row r="157" spans="1:88" x14ac:dyDescent="0.3">
      <c r="A157" s="33"/>
      <c r="B157" s="166"/>
      <c r="C157" s="26" t="s">
        <v>107</v>
      </c>
      <c r="D157" s="78">
        <f>IFERROR(INDEX('I2015'!B$5:B$73,MATCH($C157,'I2015'!$A$5:$A$73,0)),"")</f>
        <v>0</v>
      </c>
      <c r="E157" s="78">
        <f>IFERROR(INDEX('I2015'!C$5:C$73,MATCH($C157,'I2015'!$A$5:$A$73,0)),"")</f>
        <v>0</v>
      </c>
      <c r="F157" s="78">
        <f>IFERROR(INDEX('I2015'!D$5:D$73,MATCH($C157,'I2015'!$A$5:$A$73,0)),"")</f>
        <v>0.01</v>
      </c>
      <c r="G157" s="78">
        <f>IFERROR(INDEX('I2015'!E$5:E$73,MATCH($C157,'I2015'!$A$5:$A$73,0)),"")</f>
        <v>0</v>
      </c>
      <c r="H157" s="78">
        <f>IFERROR(INDEX('I2015'!F$5:F$73,MATCH($C157,'I2015'!$A$5:$A$73,0)),"")</f>
        <v>0</v>
      </c>
      <c r="I157" s="78">
        <f>IFERROR(INDEX('I2015'!G$5:G$73,MATCH($C157,'I2015'!$A$5:$A$73,0)),"")</f>
        <v>0</v>
      </c>
      <c r="J157" s="78">
        <f>IFERROR(INDEX('I2015'!H$5:H$73,MATCH($C157,'I2015'!$A$5:$A$73,0)),"")</f>
        <v>0</v>
      </c>
      <c r="K157" s="78">
        <f>IFERROR(INDEX('I2015'!I$5:I$73,MATCH($C157,'I2015'!$A$5:$A$73,0)),"")</f>
        <v>0</v>
      </c>
      <c r="L157" s="78">
        <f>IFERROR(INDEX('I2015'!J$5:J$73,MATCH($C157,'I2015'!$A$5:$A$73,0)),"")</f>
        <v>0</v>
      </c>
      <c r="M157" s="78">
        <f>IFERROR(INDEX('I2015'!K$5:K$73,MATCH($C157,'I2015'!$A$5:$A$73,0)),"")</f>
        <v>0.01</v>
      </c>
      <c r="N157" s="78">
        <f>IFERROR(INDEX('I2015'!L$5:L$73,MATCH($C157,'I2015'!$A$5:$A$73,0)),"")</f>
        <v>0</v>
      </c>
      <c r="O157" s="78">
        <f>IFERROR(INDEX('I2015'!M$5:M$73,MATCH($C157,'I2015'!$A$5:$A$73,0)),"")</f>
        <v>0.01</v>
      </c>
      <c r="P157" s="78">
        <f>IFERROR(INDEX('I2016'!B$5:B$90,MATCH($C157,'I2016'!$A$5:$A$90,0)),"")</f>
        <v>0.28000000000000003</v>
      </c>
      <c r="Q157" s="78">
        <f>IFERROR(INDEX('I2016'!C$5:C$90,MATCH($C157,'I2016'!$A$5:$A$90,0)),"")</f>
        <v>0.43</v>
      </c>
      <c r="R157" s="78">
        <f>IFERROR(INDEX('I2016'!D$5:D$90,MATCH($C157,'I2016'!$A$5:$A$90,0)),"")</f>
        <v>0.36</v>
      </c>
      <c r="S157" s="78">
        <f>IFERROR(INDEX('I2016'!E$5:E$90,MATCH($C157,'I2016'!$A$5:$A$90,0)),"")</f>
        <v>26.18</v>
      </c>
      <c r="T157" s="78">
        <f>IFERROR(INDEX('I2016'!F$5:F$90,MATCH($C157,'I2016'!$A$5:$A$90,0)),"")</f>
        <v>0.56999999999999995</v>
      </c>
      <c r="U157" s="78">
        <f>IFERROR(INDEX('I2016'!G$5:G$90,MATCH($C157,'I2016'!$A$5:$A$90,0)),"")</f>
        <v>0.54</v>
      </c>
      <c r="V157" s="78">
        <f>IFERROR(INDEX('I2016'!H$5:H$90,MATCH($C157,'I2016'!$A$5:$A$90,0)),"")</f>
        <v>0.55000000000000004</v>
      </c>
      <c r="W157" s="78">
        <f>IFERROR(INDEX('I2016'!I$5:I$90,MATCH($C157,'I2016'!$A$5:$A$90,0)),"")</f>
        <v>0.17</v>
      </c>
      <c r="X157" s="78">
        <f>IFERROR(INDEX('I2016'!J$5:J$90,MATCH($C157,'I2016'!$A$5:$A$90,0)),"")</f>
        <v>0</v>
      </c>
      <c r="Y157" s="78">
        <f>IFERROR(INDEX('I2016'!K$5:K$90,MATCH($C157,'I2016'!$A$5:$A$90,0)),"")</f>
        <v>247.14</v>
      </c>
      <c r="Z157" s="78">
        <f>IFERROR(INDEX('I2016'!L$5:L$90,MATCH($C157,'I2016'!$A$5:$A$90,0)),"")</f>
        <v>55.97</v>
      </c>
      <c r="AA157" s="78">
        <f>IFERROR(INDEX('I2016'!M$5:M$90,MATCH($C157,'I2016'!$A$5:$A$90,0)),"")</f>
        <v>0</v>
      </c>
      <c r="AB157" s="78" t="str">
        <f>IFERROR(INDEX('I2017'!B$5:B$96,MATCH($C157,'I2017'!$A$5:$A$96,0)),"")</f>
        <v/>
      </c>
      <c r="AC157" s="78" t="str">
        <f>IFERROR(INDEX('I2017'!C$5:C$96,MATCH($C157,'I2017'!$A$5:$A$96,0)),"")</f>
        <v/>
      </c>
      <c r="AD157" s="78" t="str">
        <f>IFERROR(INDEX('I2017'!D$5:D$96,MATCH($C157,'I2017'!$A$5:$A$96,0)),"")</f>
        <v/>
      </c>
      <c r="AE157" s="78" t="str">
        <f>IFERROR(INDEX('I2017'!E$5:E$96,MATCH($C157,'I2017'!$A$5:$A$96,0)),"")</f>
        <v/>
      </c>
      <c r="AF157" s="78" t="str">
        <f>IFERROR(INDEX('I2017'!F$5:F$96,MATCH($C157,'I2017'!$A$5:$A$96,0)),"")</f>
        <v/>
      </c>
      <c r="AG157" s="78" t="str">
        <f>IFERROR(INDEX('I2017'!G$5:G$96,MATCH($C157,'I2017'!$A$5:$A$96,0)),"")</f>
        <v/>
      </c>
      <c r="AH157" s="78" t="str">
        <f>IFERROR(INDEX('I2017'!H$5:H$96,MATCH($C157,'I2017'!$A$5:$A$96,0)),"")</f>
        <v/>
      </c>
      <c r="AI157" s="78" t="str">
        <f>IFERROR(INDEX('I2017'!I$5:I$96,MATCH($C157,'I2017'!$A$5:$A$96,0)),"")</f>
        <v/>
      </c>
      <c r="AJ157" s="78" t="str">
        <f>IFERROR(INDEX('I2017'!J$5:J$96,MATCH($C157,'I2017'!$A$5:$A$96,0)),"")</f>
        <v/>
      </c>
      <c r="AK157" s="78" t="str">
        <f>IFERROR(INDEX('I2017'!K$5:K$96,MATCH($C157,'I2017'!$A$5:$A$96,0)),"")</f>
        <v/>
      </c>
      <c r="AL157" s="78" t="str">
        <f>IFERROR(INDEX('I2017'!L$5:L$96,MATCH($C157,'I2017'!$A$5:$A$96,0)),"")</f>
        <v/>
      </c>
      <c r="AM157" s="78" t="str">
        <f>IFERROR(INDEX('I2017'!M$5:M$96,MATCH($C157,'I2017'!$A$5:$A$96,0)),"")</f>
        <v/>
      </c>
      <c r="AN157" s="78">
        <f>IFERROR(INDEX('I2018'!B$5:B$107,MATCH($C157,'I2018'!$A$5:$A$107,0)),"")</f>
        <v>7.43</v>
      </c>
      <c r="AO157" s="78">
        <f>IFERROR(INDEX('I2018'!C$5:C$107,MATCH($C157,'I2018'!$A$5:$A$107,0)),"")</f>
        <v>12.45</v>
      </c>
      <c r="AP157" s="78">
        <f>IFERROR(INDEX('I2018'!D$5:D$107,MATCH($C157,'I2018'!$A$5:$A$107,0)),"")</f>
        <v>8.6300000000000008</v>
      </c>
      <c r="AQ157" s="78">
        <f>IFERROR(INDEX('I2018'!E$5:E$107,MATCH($C157,'I2018'!$A$5:$A$107,0)),"")</f>
        <v>6.08</v>
      </c>
      <c r="AR157" s="78">
        <f>IFERROR(INDEX('I2018'!F$5:F$107,MATCH($C157,'I2018'!$A$5:$A$107,0)),"")</f>
        <v>8.18</v>
      </c>
      <c r="AS157" s="78">
        <f>IFERROR(INDEX('I2018'!G$5:G$107,MATCH($C157,'I2018'!$A$5:$A$107,0)),"")</f>
        <v>11.1</v>
      </c>
      <c r="AT157" s="78">
        <f>IFERROR(INDEX('I2018'!H$5:H$107,MATCH($C157,'I2018'!$A$5:$A$107,0)),"")</f>
        <v>21.12</v>
      </c>
      <c r="AU157" s="78">
        <f>IFERROR(INDEX('I2018'!I$5:I$107,MATCH($C157,'I2018'!$A$5:$A$107,0)),"")</f>
        <v>24.38</v>
      </c>
      <c r="AV157" s="78">
        <f>IFERROR(INDEX('I2018'!J$5:J$107,MATCH($C157,'I2018'!$A$5:$A$107,0)),"")</f>
        <v>22.11</v>
      </c>
      <c r="AW157" s="78">
        <f>IFERROR(INDEX('I2018'!K$5:K$107,MATCH($C157,'I2018'!$A$5:$A$107,0)),"")</f>
        <v>17.93</v>
      </c>
      <c r="AX157" s="78">
        <f>IFERROR(INDEX('I2018'!L$5:L$107,MATCH($C157,'I2018'!$A$5:$A$107,0)),"")</f>
        <v>7.5</v>
      </c>
      <c r="AY157" s="78">
        <f>IFERROR(INDEX('I2018'!M$5:M$107,MATCH($C157,'I2018'!$A$5:$A$107,0)),"")</f>
        <v>3.49</v>
      </c>
      <c r="AZ157" s="78">
        <f>IFERROR(INDEX('I2019'!B$5:B$112,MATCH($C157,'I2019'!$A$5:$A$112,0)),"")</f>
        <v>2.81</v>
      </c>
      <c r="BA157" s="78">
        <f>IFERROR(INDEX('I2019'!C$5:C$112,MATCH($C157,'I2019'!$A$5:$A$112,0)),"")</f>
        <v>2.5299999999999998</v>
      </c>
      <c r="BB157" s="78">
        <f>IFERROR(INDEX('I2019'!D$5:D$112,MATCH($C157,'I2019'!$A$5:$A$112,0)),"")</f>
        <v>2.81</v>
      </c>
      <c r="BC157" s="78">
        <f>IFERROR(INDEX('I2019'!E$5:E$112,MATCH($C157,'I2019'!$A$5:$A$112,0)),"")</f>
        <v>2.72</v>
      </c>
      <c r="BD157" s="78">
        <f>IFERROR(INDEX('I2019'!F$5:F$112,MATCH($C157,'I2019'!$A$5:$A$112,0)),"")</f>
        <v>2.8</v>
      </c>
      <c r="BE157" s="78">
        <f>IFERROR(INDEX('I2019'!G$5:G$112,MATCH($C157,'I2019'!$A$5:$A$112,0)),"")</f>
        <v>2.72</v>
      </c>
      <c r="BF157" s="78">
        <f>IFERROR(INDEX('I2019'!H$5:H$112,MATCH($C157,'I2019'!$A$5:$A$112,0)),"")</f>
        <v>317.82</v>
      </c>
      <c r="BG157" s="78">
        <f>IFERROR(INDEX('I2019'!I$5:I$112,MATCH($C157,'I2019'!$A$5:$A$112,0)),"")</f>
        <v>2.8</v>
      </c>
      <c r="BH157" s="78">
        <f>IFERROR(INDEX('I2019'!J$5:J$112,MATCH($C157,'I2019'!$A$5:$A$112,0)),"")</f>
        <v>2.72</v>
      </c>
      <c r="BI157" s="78">
        <f>IFERROR(INDEX('I2019'!K$5:K$112,MATCH($C157,'I2019'!$A$5:$A$112,0)),"")</f>
        <v>2.16</v>
      </c>
      <c r="BJ157" s="78">
        <f>IFERROR(INDEX('I2019'!L$5:L$112,MATCH($C157,'I2019'!$A$5:$A$112,0)),"")</f>
        <v>2.6</v>
      </c>
      <c r="BK157" s="78">
        <f>IFERROR(INDEX('I2019'!M$5:M$112,MATCH($C157,'I2019'!$A$5:$A$112,0)),"")</f>
        <v>2.38</v>
      </c>
      <c r="BL157" s="78">
        <f>IFERROR(INDEX('I2020'!B$5:B$113,MATCH($C157,'I2020'!$A$5:$A$113,0)),"")</f>
        <v>2.54</v>
      </c>
      <c r="BM157" s="78">
        <f>IFERROR(INDEX('I2020'!C$5:C$113,MATCH($C157,'I2020'!$A$5:$A$113,0)),"")</f>
        <v>2.38</v>
      </c>
      <c r="BN157" s="78">
        <f>IFERROR(INDEX('I2020'!D$5:D$113,MATCH($C157,'I2020'!$A$5:$A$113,0)),"")</f>
        <v>1.44</v>
      </c>
      <c r="BO157" s="78">
        <f>IFERROR(INDEX('I2020'!E$5:E$113,MATCH($C157,'I2020'!$A$5:$A$113,0)),"")</f>
        <v>3.44</v>
      </c>
      <c r="BP157" s="78">
        <f>IFERROR(INDEX('I2020'!F$5:F$113,MATCH($C157,'I2020'!$A$5:$A$113,0)),"")</f>
        <v>27.06</v>
      </c>
      <c r="BQ157" s="398">
        <f>IFERROR(INDEX('I2020'!G$5:G$113,MATCH($C157,'I2020'!$A$5:$A$113,0)),"")</f>
        <v>34.43</v>
      </c>
      <c r="BR157" s="153">
        <f t="shared" ref="BQ157:CI157" si="109">SUM(BR155:BR156)</f>
        <v>59.731666666666662</v>
      </c>
      <c r="BS157" s="153">
        <f t="shared" si="109"/>
        <v>16.348611111111111</v>
      </c>
      <c r="BT157" s="153">
        <f t="shared" si="109"/>
        <v>18.206851851851852</v>
      </c>
      <c r="BU157" s="153">
        <f t="shared" si="109"/>
        <v>20.348144290123457</v>
      </c>
      <c r="BV157" s="153">
        <f t="shared" si="109"/>
        <v>22.856331340020574</v>
      </c>
      <c r="BW157" s="153">
        <f t="shared" si="109"/>
        <v>25.702285370584704</v>
      </c>
      <c r="BX157" s="153">
        <f t="shared" si="109"/>
        <v>28.996723306845134</v>
      </c>
      <c r="BY157" s="153">
        <f t="shared" si="109"/>
        <v>29.625383734474127</v>
      </c>
      <c r="BZ157" s="153">
        <f t="shared" si="109"/>
        <v>30.319765864405539</v>
      </c>
      <c r="CA157" s="153">
        <f t="shared" si="109"/>
        <v>31.15034650516457</v>
      </c>
      <c r="CB157" s="153">
        <f t="shared" si="109"/>
        <v>31.883475532653513</v>
      </c>
      <c r="CC157" s="153">
        <f t="shared" si="109"/>
        <v>30.709365312433203</v>
      </c>
      <c r="CD157" s="153">
        <f t="shared" si="109"/>
        <v>28.82324590719454</v>
      </c>
      <c r="CE157" s="153">
        <f t="shared" si="109"/>
        <v>26.247544177238531</v>
      </c>
      <c r="CF157" s="153">
        <f t="shared" si="109"/>
        <v>27.072455266082482</v>
      </c>
      <c r="CG157" s="153">
        <f t="shared" si="109"/>
        <v>27.8112555506017</v>
      </c>
      <c r="CH157" s="153">
        <f t="shared" si="109"/>
        <v>28.433181488974888</v>
      </c>
      <c r="CI157" s="154">
        <f t="shared" si="109"/>
        <v>28.897919001387748</v>
      </c>
      <c r="CJ157" s="139"/>
    </row>
    <row r="158" spans="1:88" x14ac:dyDescent="0.3">
      <c r="A158" s="33"/>
      <c r="B158" s="68"/>
      <c r="C158" s="82" t="s">
        <v>108</v>
      </c>
      <c r="D158" s="100">
        <f>IFERROR(INDEX('I2015'!B$5:B$73,MATCH($C158,'I2015'!$A$5:$A$73,0)),"")</f>
        <v>0</v>
      </c>
      <c r="E158" s="100">
        <f>IFERROR(INDEX('I2015'!C$5:C$73,MATCH($C158,'I2015'!$A$5:$A$73,0)),"")</f>
        <v>0</v>
      </c>
      <c r="F158" s="100">
        <f>IFERROR(INDEX('I2015'!D$5:D$73,MATCH($C158,'I2015'!$A$5:$A$73,0)),"")</f>
        <v>0</v>
      </c>
      <c r="G158" s="100">
        <f>IFERROR(INDEX('I2015'!E$5:E$73,MATCH($C158,'I2015'!$A$5:$A$73,0)),"")</f>
        <v>0</v>
      </c>
      <c r="H158" s="100">
        <f>IFERROR(INDEX('I2015'!F$5:F$73,MATCH($C158,'I2015'!$A$5:$A$73,0)),"")</f>
        <v>0</v>
      </c>
      <c r="I158" s="100">
        <f>IFERROR(INDEX('I2015'!G$5:G$73,MATCH($C158,'I2015'!$A$5:$A$73,0)),"")</f>
        <v>0</v>
      </c>
      <c r="J158" s="100">
        <f>IFERROR(INDEX('I2015'!H$5:H$73,MATCH($C158,'I2015'!$A$5:$A$73,0)),"")</f>
        <v>0</v>
      </c>
      <c r="K158" s="100">
        <f>IFERROR(INDEX('I2015'!I$5:I$73,MATCH($C158,'I2015'!$A$5:$A$73,0)),"")</f>
        <v>0</v>
      </c>
      <c r="L158" s="100">
        <f>IFERROR(INDEX('I2015'!J$5:J$73,MATCH($C158,'I2015'!$A$5:$A$73,0)),"")</f>
        <v>0</v>
      </c>
      <c r="M158" s="100">
        <f>IFERROR(INDEX('I2015'!K$5:K$73,MATCH($C158,'I2015'!$A$5:$A$73,0)),"")</f>
        <v>0</v>
      </c>
      <c r="N158" s="100">
        <f>IFERROR(INDEX('I2015'!L$5:L$73,MATCH($C158,'I2015'!$A$5:$A$73,0)),"")</f>
        <v>0</v>
      </c>
      <c r="O158" s="100">
        <f>IFERROR(INDEX('I2015'!M$5:M$73,MATCH($C158,'I2015'!$A$5:$A$73,0)),"")</f>
        <v>0</v>
      </c>
      <c r="P158" s="100">
        <f>IFERROR(INDEX('I2016'!B$5:B$90,MATCH($C158,'I2016'!$A$5:$A$90,0)),"")</f>
        <v>0</v>
      </c>
      <c r="Q158" s="100">
        <f>IFERROR(INDEX('I2016'!C$5:C$90,MATCH($C158,'I2016'!$A$5:$A$90,0)),"")</f>
        <v>0</v>
      </c>
      <c r="R158" s="100">
        <f>IFERROR(INDEX('I2016'!D$5:D$90,MATCH($C158,'I2016'!$A$5:$A$90,0)),"")</f>
        <v>0</v>
      </c>
      <c r="S158" s="100">
        <f>IFERROR(INDEX('I2016'!E$5:E$90,MATCH($C158,'I2016'!$A$5:$A$90,0)),"")</f>
        <v>0</v>
      </c>
      <c r="T158" s="100">
        <f>IFERROR(INDEX('I2016'!F$5:F$90,MATCH($C158,'I2016'!$A$5:$A$90,0)),"")</f>
        <v>0</v>
      </c>
      <c r="U158" s="100">
        <f>IFERROR(INDEX('I2016'!G$5:G$90,MATCH($C158,'I2016'!$A$5:$A$90,0)),"")</f>
        <v>0</v>
      </c>
      <c r="V158" s="100">
        <f>IFERROR(INDEX('I2016'!H$5:H$90,MATCH($C158,'I2016'!$A$5:$A$90,0)),"")</f>
        <v>0</v>
      </c>
      <c r="W158" s="100">
        <f>IFERROR(INDEX('I2016'!I$5:I$90,MATCH($C158,'I2016'!$A$5:$A$90,0)),"")</f>
        <v>0</v>
      </c>
      <c r="X158" s="100">
        <f>IFERROR(INDEX('I2016'!J$5:J$90,MATCH($C158,'I2016'!$A$5:$A$90,0)),"")</f>
        <v>0</v>
      </c>
      <c r="Y158" s="100">
        <f>IFERROR(INDEX('I2016'!K$5:K$90,MATCH($C158,'I2016'!$A$5:$A$90,0)),"")</f>
        <v>0</v>
      </c>
      <c r="Z158" s="100">
        <f>IFERROR(INDEX('I2016'!L$5:L$90,MATCH($C158,'I2016'!$A$5:$A$90,0)),"")</f>
        <v>0</v>
      </c>
      <c r="AA158" s="100">
        <f>IFERROR(INDEX('I2016'!M$5:M$90,MATCH($C158,'I2016'!$A$5:$A$90,0)),"")</f>
        <v>0</v>
      </c>
      <c r="AB158" s="100">
        <f>IFERROR(INDEX('I2017'!B$5:B$96,MATCH($C158,'I2017'!$A$5:$A$96,0)),"")</f>
        <v>0</v>
      </c>
      <c r="AC158" s="100">
        <f>IFERROR(INDEX('I2017'!C$5:C$96,MATCH($C158,'I2017'!$A$5:$A$96,0)),"")</f>
        <v>0</v>
      </c>
      <c r="AD158" s="100">
        <f>IFERROR(INDEX('I2017'!D$5:D$96,MATCH($C158,'I2017'!$A$5:$A$96,0)),"")</f>
        <v>0</v>
      </c>
      <c r="AE158" s="100">
        <f>IFERROR(INDEX('I2017'!E$5:E$96,MATCH($C158,'I2017'!$A$5:$A$96,0)),"")</f>
        <v>0</v>
      </c>
      <c r="AF158" s="100">
        <f>IFERROR(INDEX('I2017'!F$5:F$96,MATCH($C158,'I2017'!$A$5:$A$96,0)),"")</f>
        <v>0</v>
      </c>
      <c r="AG158" s="100">
        <f>IFERROR(INDEX('I2017'!G$5:G$96,MATCH($C158,'I2017'!$A$5:$A$96,0)),"")</f>
        <v>0</v>
      </c>
      <c r="AH158" s="100">
        <f>IFERROR(INDEX('I2017'!H$5:H$96,MATCH($C158,'I2017'!$A$5:$A$96,0)),"")</f>
        <v>0</v>
      </c>
      <c r="AI158" s="100">
        <f>IFERROR(INDEX('I2017'!I$5:I$96,MATCH($C158,'I2017'!$A$5:$A$96,0)),"")</f>
        <v>0</v>
      </c>
      <c r="AJ158" s="100">
        <f>IFERROR(INDEX('I2017'!J$5:J$96,MATCH($C158,'I2017'!$A$5:$A$96,0)),"")</f>
        <v>0</v>
      </c>
      <c r="AK158" s="100">
        <f>IFERROR(INDEX('I2017'!K$5:K$96,MATCH($C158,'I2017'!$A$5:$A$96,0)),"")</f>
        <v>0</v>
      </c>
      <c r="AL158" s="100">
        <f>IFERROR(INDEX('I2017'!L$5:L$96,MATCH($C158,'I2017'!$A$5:$A$96,0)),"")</f>
        <v>0</v>
      </c>
      <c r="AM158" s="100">
        <f>IFERROR(INDEX('I2017'!M$5:M$96,MATCH($C158,'I2017'!$A$5:$A$96,0)),"")</f>
        <v>0</v>
      </c>
      <c r="AN158" s="100">
        <f>IFERROR(INDEX('I2018'!B$5:B$107,MATCH($C158,'I2018'!$A$5:$A$107,0)),"")</f>
        <v>0</v>
      </c>
      <c r="AO158" s="100">
        <f>IFERROR(INDEX('I2018'!C$5:C$107,MATCH($C158,'I2018'!$A$5:$A$107,0)),"")</f>
        <v>0</v>
      </c>
      <c r="AP158" s="100">
        <f>IFERROR(INDEX('I2018'!D$5:D$107,MATCH($C158,'I2018'!$A$5:$A$107,0)),"")</f>
        <v>0</v>
      </c>
      <c r="AQ158" s="100">
        <f>IFERROR(INDEX('I2018'!E$5:E$107,MATCH($C158,'I2018'!$A$5:$A$107,0)),"")</f>
        <v>0</v>
      </c>
      <c r="AR158" s="100">
        <f>IFERROR(INDEX('I2018'!F$5:F$107,MATCH($C158,'I2018'!$A$5:$A$107,0)),"")</f>
        <v>0</v>
      </c>
      <c r="AS158" s="100">
        <f>IFERROR(INDEX('I2018'!G$5:G$107,MATCH($C158,'I2018'!$A$5:$A$107,0)),"")</f>
        <v>0</v>
      </c>
      <c r="AT158" s="100">
        <f>IFERROR(INDEX('I2018'!H$5:H$107,MATCH($C158,'I2018'!$A$5:$A$107,0)),"")</f>
        <v>0</v>
      </c>
      <c r="AU158" s="100">
        <f>IFERROR(INDEX('I2018'!I$5:I$107,MATCH($C158,'I2018'!$A$5:$A$107,0)),"")</f>
        <v>0</v>
      </c>
      <c r="AV158" s="100">
        <f>IFERROR(INDEX('I2018'!J$5:J$107,MATCH($C158,'I2018'!$A$5:$A$107,0)),"")</f>
        <v>0</v>
      </c>
      <c r="AW158" s="100">
        <f>IFERROR(INDEX('I2018'!K$5:K$107,MATCH($C158,'I2018'!$A$5:$A$107,0)),"")</f>
        <v>0</v>
      </c>
      <c r="AX158" s="100">
        <f>IFERROR(INDEX('I2018'!L$5:L$107,MATCH($C158,'I2018'!$A$5:$A$107,0)),"")</f>
        <v>0</v>
      </c>
      <c r="AY158" s="100">
        <f>IFERROR(INDEX('I2018'!M$5:M$107,MATCH($C158,'I2018'!$A$5:$A$107,0)),"")</f>
        <v>0</v>
      </c>
      <c r="AZ158" s="100">
        <f>IFERROR(INDEX('I2019'!B$5:B$112,MATCH($C158,'I2019'!$A$5:$A$112,0)),"")</f>
        <v>0</v>
      </c>
      <c r="BA158" s="100">
        <f>IFERROR(INDEX('I2019'!C$5:C$112,MATCH($C158,'I2019'!$A$5:$A$112,0)),"")</f>
        <v>0</v>
      </c>
      <c r="BB158" s="100">
        <f>IFERROR(INDEX('I2019'!D$5:D$112,MATCH($C158,'I2019'!$A$5:$A$112,0)),"")</f>
        <v>0</v>
      </c>
      <c r="BC158" s="100">
        <f>IFERROR(INDEX('I2019'!E$5:E$112,MATCH($C158,'I2019'!$A$5:$A$112,0)),"")</f>
        <v>0</v>
      </c>
      <c r="BD158" s="100">
        <f>IFERROR(INDEX('I2019'!F$5:F$112,MATCH($C158,'I2019'!$A$5:$A$112,0)),"")</f>
        <v>0</v>
      </c>
      <c r="BE158" s="100">
        <f>IFERROR(INDEX('I2019'!G$5:G$112,MATCH($C158,'I2019'!$A$5:$A$112,0)),"")</f>
        <v>0</v>
      </c>
      <c r="BF158" s="100">
        <f>IFERROR(INDEX('I2019'!H$5:H$112,MATCH($C158,'I2019'!$A$5:$A$112,0)),"")</f>
        <v>0</v>
      </c>
      <c r="BG158" s="100">
        <f>IFERROR(INDEX('I2019'!I$5:I$112,MATCH($C158,'I2019'!$A$5:$A$112,0)),"")</f>
        <v>0</v>
      </c>
      <c r="BH158" s="100">
        <f>IFERROR(INDEX('I2019'!J$5:J$112,MATCH($C158,'I2019'!$A$5:$A$112,0)),"")</f>
        <v>0</v>
      </c>
      <c r="BI158" s="100">
        <f>IFERROR(INDEX('I2019'!K$5:K$112,MATCH($C158,'I2019'!$A$5:$A$112,0)),"")</f>
        <v>0</v>
      </c>
      <c r="BJ158" s="100">
        <f>IFERROR(INDEX('I2019'!L$5:L$112,MATCH($C158,'I2019'!$A$5:$A$112,0)),"")</f>
        <v>0</v>
      </c>
      <c r="BK158" s="100">
        <f>IFERROR(INDEX('I2019'!M$5:M$112,MATCH($C158,'I2019'!$A$5:$A$112,0)),"")</f>
        <v>0</v>
      </c>
      <c r="BL158" s="100">
        <f>IFERROR(INDEX('I2020'!B$5:B$113,MATCH($C158,'I2020'!$A$5:$A$113,0)),"")</f>
        <v>0</v>
      </c>
      <c r="BM158" s="100">
        <f>IFERROR(INDEX('I2020'!C$5:C$113,MATCH($C158,'I2020'!$A$5:$A$113,0)),"")</f>
        <v>0</v>
      </c>
      <c r="BN158" s="100">
        <f>IFERROR(INDEX('I2020'!D$5:D$113,MATCH($C158,'I2020'!$A$5:$A$113,0)),"")</f>
        <v>0</v>
      </c>
      <c r="BO158" s="100">
        <f>IFERROR(INDEX('I2020'!E$5:E$113,MATCH($C158,'I2020'!$A$5:$A$113,0)),"")</f>
        <v>0</v>
      </c>
      <c r="BP158" s="100">
        <f>IFERROR(INDEX('I2020'!F$5:F$113,MATCH($C158,'I2020'!$A$5:$A$113,0)),"")</f>
        <v>0</v>
      </c>
      <c r="BQ158" s="395">
        <f>IFERROR(INDEX('I2020'!G$5:G$113,MATCH($C158,'I2020'!$A$5:$A$113,0)),"")</f>
        <v>0</v>
      </c>
      <c r="BR158" s="148"/>
      <c r="BS158" s="148"/>
      <c r="BT158" s="148"/>
      <c r="BU158" s="148"/>
      <c r="BV158" s="148"/>
      <c r="BW158" s="148"/>
      <c r="BX158" s="148"/>
      <c r="BY158" s="148"/>
      <c r="BZ158" s="148"/>
      <c r="CA158" s="148"/>
      <c r="CB158" s="148"/>
      <c r="CC158" s="148"/>
      <c r="CD158" s="148"/>
      <c r="CE158" s="148"/>
      <c r="CF158" s="148"/>
      <c r="CG158" s="148"/>
      <c r="CH158" s="148"/>
      <c r="CI158" s="149"/>
      <c r="CJ158" s="134"/>
    </row>
    <row r="159" spans="1:88" x14ac:dyDescent="0.3">
      <c r="A159" s="33"/>
      <c r="B159" s="68"/>
      <c r="C159" s="21" t="s">
        <v>109</v>
      </c>
      <c r="D159" s="102">
        <f>IFERROR(INDEX('I2015'!B$5:B$73,MATCH($C159,'I2015'!$A$5:$A$73,0)),"")</f>
        <v>0</v>
      </c>
      <c r="E159" s="102">
        <f>IFERROR(INDEX('I2015'!C$5:C$73,MATCH($C159,'I2015'!$A$5:$A$73,0)),"")</f>
        <v>0</v>
      </c>
      <c r="F159" s="102">
        <f>IFERROR(INDEX('I2015'!D$5:D$73,MATCH($C159,'I2015'!$A$5:$A$73,0)),"")</f>
        <v>8.89</v>
      </c>
      <c r="G159" s="102">
        <f>IFERROR(INDEX('I2015'!E$5:E$73,MATCH($C159,'I2015'!$A$5:$A$73,0)),"")</f>
        <v>0</v>
      </c>
      <c r="H159" s="102">
        <f>IFERROR(INDEX('I2015'!F$5:F$73,MATCH($C159,'I2015'!$A$5:$A$73,0)),"")</f>
        <v>0</v>
      </c>
      <c r="I159" s="102">
        <f>IFERROR(INDEX('I2015'!G$5:G$73,MATCH($C159,'I2015'!$A$5:$A$73,0)),"")</f>
        <v>104.35</v>
      </c>
      <c r="J159" s="102">
        <f>IFERROR(INDEX('I2015'!H$5:H$73,MATCH($C159,'I2015'!$A$5:$A$73,0)),"")</f>
        <v>138.63999999999999</v>
      </c>
      <c r="K159" s="102">
        <f>IFERROR(INDEX('I2015'!I$5:I$73,MATCH($C159,'I2015'!$A$5:$A$73,0)),"")</f>
        <v>154.31</v>
      </c>
      <c r="L159" s="102">
        <f>IFERROR(INDEX('I2015'!J$5:J$73,MATCH($C159,'I2015'!$A$5:$A$73,0)),"")</f>
        <v>139.72999999999999</v>
      </c>
      <c r="M159" s="102">
        <f>IFERROR(INDEX('I2015'!K$5:K$73,MATCH($C159,'I2015'!$A$5:$A$73,0)),"")</f>
        <v>166.05</v>
      </c>
      <c r="N159" s="102">
        <f>IFERROR(INDEX('I2015'!L$5:L$73,MATCH($C159,'I2015'!$A$5:$A$73,0)),"")</f>
        <v>223.65</v>
      </c>
      <c r="O159" s="102">
        <f>IFERROR(INDEX('I2015'!M$5:M$73,MATCH($C159,'I2015'!$A$5:$A$73,0)),"")</f>
        <v>291.06</v>
      </c>
      <c r="P159" s="102">
        <f>IFERROR(INDEX('I2016'!B$5:B$90,MATCH($C159,'I2016'!$A$5:$A$90,0)),"")</f>
        <v>382.77</v>
      </c>
      <c r="Q159" s="102">
        <f>IFERROR(INDEX('I2016'!C$5:C$90,MATCH($C159,'I2016'!$A$5:$A$90,0)),"")</f>
        <v>411.78</v>
      </c>
      <c r="R159" s="102">
        <f>IFERROR(INDEX('I2016'!D$5:D$90,MATCH($C159,'I2016'!$A$5:$A$90,0)),"")</f>
        <v>355.55</v>
      </c>
      <c r="S159" s="102">
        <f>IFERROR(INDEX('I2016'!E$5:E$90,MATCH($C159,'I2016'!$A$5:$A$90,0)),"")</f>
        <v>351.92</v>
      </c>
      <c r="T159" s="102">
        <f>IFERROR(INDEX('I2016'!F$5:F$90,MATCH($C159,'I2016'!$A$5:$A$90,0)),"")</f>
        <v>258.74</v>
      </c>
      <c r="U159" s="102">
        <f>IFERROR(INDEX('I2016'!G$5:G$90,MATCH($C159,'I2016'!$A$5:$A$90,0)),"")</f>
        <v>246.67</v>
      </c>
      <c r="V159" s="102">
        <f>IFERROR(INDEX('I2016'!H$5:H$90,MATCH($C159,'I2016'!$A$5:$A$90,0)),"")</f>
        <v>222.55</v>
      </c>
      <c r="W159" s="102">
        <f>IFERROR(INDEX('I2016'!I$5:I$90,MATCH($C159,'I2016'!$A$5:$A$90,0)),"")</f>
        <v>379.41</v>
      </c>
      <c r="X159" s="102">
        <f>IFERROR(INDEX('I2016'!J$5:J$90,MATCH($C159,'I2016'!$A$5:$A$90,0)),"")</f>
        <v>374.39</v>
      </c>
      <c r="Y159" s="102">
        <f>IFERROR(INDEX('I2016'!K$5:K$90,MATCH($C159,'I2016'!$A$5:$A$90,0)),"")</f>
        <v>450.44</v>
      </c>
      <c r="Z159" s="102">
        <f>IFERROR(INDEX('I2016'!L$5:L$90,MATCH($C159,'I2016'!$A$5:$A$90,0)),"")</f>
        <v>450.73</v>
      </c>
      <c r="AA159" s="102">
        <f>IFERROR(INDEX('I2016'!M$5:M$90,MATCH($C159,'I2016'!$A$5:$A$90,0)),"")</f>
        <v>426.76</v>
      </c>
      <c r="AB159" s="102">
        <f>IFERROR(INDEX('I2017'!B$5:B$96,MATCH($C159,'I2017'!$A$5:$A$96,0)),"")</f>
        <v>0</v>
      </c>
      <c r="AC159" s="102">
        <f>IFERROR(INDEX('I2017'!C$5:C$96,MATCH($C159,'I2017'!$A$5:$A$96,0)),"")</f>
        <v>0</v>
      </c>
      <c r="AD159" s="102">
        <f>IFERROR(INDEX('I2017'!D$5:D$96,MATCH($C159,'I2017'!$A$5:$A$96,0)),"")</f>
        <v>0</v>
      </c>
      <c r="AE159" s="102">
        <f>IFERROR(INDEX('I2017'!E$5:E$96,MATCH($C159,'I2017'!$A$5:$A$96,0)),"")</f>
        <v>0</v>
      </c>
      <c r="AF159" s="102">
        <f>IFERROR(INDEX('I2017'!F$5:F$96,MATCH($C159,'I2017'!$A$5:$A$96,0)),"")</f>
        <v>0</v>
      </c>
      <c r="AG159" s="102">
        <f>IFERROR(INDEX('I2017'!G$5:G$96,MATCH($C159,'I2017'!$A$5:$A$96,0)),"")</f>
        <v>0</v>
      </c>
      <c r="AH159" s="102">
        <f>IFERROR(INDEX('I2017'!H$5:H$96,MATCH($C159,'I2017'!$A$5:$A$96,0)),"")</f>
        <v>0</v>
      </c>
      <c r="AI159" s="102">
        <f>IFERROR(INDEX('I2017'!I$5:I$96,MATCH($C159,'I2017'!$A$5:$A$96,0)),"")</f>
        <v>0</v>
      </c>
      <c r="AJ159" s="102">
        <f>IFERROR(INDEX('I2017'!J$5:J$96,MATCH($C159,'I2017'!$A$5:$A$96,0)),"")</f>
        <v>0</v>
      </c>
      <c r="AK159" s="102">
        <f>IFERROR(INDEX('I2017'!K$5:K$96,MATCH($C159,'I2017'!$A$5:$A$96,0)),"")</f>
        <v>2.88</v>
      </c>
      <c r="AL159" s="102">
        <f>IFERROR(INDEX('I2017'!L$5:L$96,MATCH($C159,'I2017'!$A$5:$A$96,0)),"")</f>
        <v>0</v>
      </c>
      <c r="AM159" s="102">
        <f>IFERROR(INDEX('I2017'!M$5:M$96,MATCH($C159,'I2017'!$A$5:$A$96,0)),"")</f>
        <v>0</v>
      </c>
      <c r="AN159" s="102">
        <f>IFERROR(INDEX('I2018'!B$5:B$107,MATCH($C159,'I2018'!$A$5:$A$107,0)),"")</f>
        <v>0</v>
      </c>
      <c r="AO159" s="102">
        <f>IFERROR(INDEX('I2018'!C$5:C$107,MATCH($C159,'I2018'!$A$5:$A$107,0)),"")</f>
        <v>0</v>
      </c>
      <c r="AP159" s="102">
        <f>IFERROR(INDEX('I2018'!D$5:D$107,MATCH($C159,'I2018'!$A$5:$A$107,0)),"")</f>
        <v>0</v>
      </c>
      <c r="AQ159" s="102">
        <f>IFERROR(INDEX('I2018'!E$5:E$107,MATCH($C159,'I2018'!$A$5:$A$107,0)),"")</f>
        <v>0</v>
      </c>
      <c r="AR159" s="102">
        <f>IFERROR(INDEX('I2018'!F$5:F$107,MATCH($C159,'I2018'!$A$5:$A$107,0)),"")</f>
        <v>0</v>
      </c>
      <c r="AS159" s="102">
        <f>IFERROR(INDEX('I2018'!G$5:G$107,MATCH($C159,'I2018'!$A$5:$A$107,0)),"")</f>
        <v>0</v>
      </c>
      <c r="AT159" s="102">
        <f>IFERROR(INDEX('I2018'!H$5:H$107,MATCH($C159,'I2018'!$A$5:$A$107,0)),"")</f>
        <v>0</v>
      </c>
      <c r="AU159" s="102">
        <f>IFERROR(INDEX('I2018'!I$5:I$107,MATCH($C159,'I2018'!$A$5:$A$107,0)),"")</f>
        <v>0</v>
      </c>
      <c r="AV159" s="102">
        <f>IFERROR(INDEX('I2018'!J$5:J$107,MATCH($C159,'I2018'!$A$5:$A$107,0)),"")</f>
        <v>0</v>
      </c>
      <c r="AW159" s="102">
        <f>IFERROR(INDEX('I2018'!K$5:K$107,MATCH($C159,'I2018'!$A$5:$A$107,0)),"")</f>
        <v>0</v>
      </c>
      <c r="AX159" s="102">
        <f>IFERROR(INDEX('I2018'!L$5:L$107,MATCH($C159,'I2018'!$A$5:$A$107,0)),"")</f>
        <v>0</v>
      </c>
      <c r="AY159" s="102">
        <f>IFERROR(INDEX('I2018'!M$5:M$107,MATCH($C159,'I2018'!$A$5:$A$107,0)),"")</f>
        <v>0</v>
      </c>
      <c r="AZ159" s="102">
        <f>IFERROR(INDEX('I2019'!B$5:B$112,MATCH($C159,'I2019'!$A$5:$A$112,0)),"")</f>
        <v>0</v>
      </c>
      <c r="BA159" s="102">
        <f>IFERROR(INDEX('I2019'!C$5:C$112,MATCH($C159,'I2019'!$A$5:$A$112,0)),"")</f>
        <v>0</v>
      </c>
      <c r="BB159" s="102">
        <f>IFERROR(INDEX('I2019'!D$5:D$112,MATCH($C159,'I2019'!$A$5:$A$112,0)),"")</f>
        <v>0</v>
      </c>
      <c r="BC159" s="102">
        <f>IFERROR(INDEX('I2019'!E$5:E$112,MATCH($C159,'I2019'!$A$5:$A$112,0)),"")</f>
        <v>0</v>
      </c>
      <c r="BD159" s="102">
        <f>IFERROR(INDEX('I2019'!F$5:F$112,MATCH($C159,'I2019'!$A$5:$A$112,0)),"")</f>
        <v>0</v>
      </c>
      <c r="BE159" s="102">
        <f>IFERROR(INDEX('I2019'!G$5:G$112,MATCH($C159,'I2019'!$A$5:$A$112,0)),"")</f>
        <v>0</v>
      </c>
      <c r="BF159" s="102">
        <f>IFERROR(INDEX('I2019'!H$5:H$112,MATCH($C159,'I2019'!$A$5:$A$112,0)),"")</f>
        <v>0</v>
      </c>
      <c r="BG159" s="102">
        <f>IFERROR(INDEX('I2019'!I$5:I$112,MATCH($C159,'I2019'!$A$5:$A$112,0)),"")</f>
        <v>0</v>
      </c>
      <c r="BH159" s="102">
        <f>IFERROR(INDEX('I2019'!J$5:J$112,MATCH($C159,'I2019'!$A$5:$A$112,0)),"")</f>
        <v>0</v>
      </c>
      <c r="BI159" s="102">
        <f>IFERROR(INDEX('I2019'!K$5:K$112,MATCH($C159,'I2019'!$A$5:$A$112,0)),"")</f>
        <v>0</v>
      </c>
      <c r="BJ159" s="102">
        <f>IFERROR(INDEX('I2019'!L$5:L$112,MATCH($C159,'I2019'!$A$5:$A$112,0)),"")</f>
        <v>0</v>
      </c>
      <c r="BK159" s="102">
        <f>IFERROR(INDEX('I2019'!M$5:M$112,MATCH($C159,'I2019'!$A$5:$A$112,0)),"")</f>
        <v>0</v>
      </c>
      <c r="BL159" s="102">
        <f>IFERROR(INDEX('I2020'!B$5:B$113,MATCH($C159,'I2020'!$A$5:$A$113,0)),"")</f>
        <v>0</v>
      </c>
      <c r="BM159" s="102">
        <f>IFERROR(INDEX('I2020'!C$5:C$113,MATCH($C159,'I2020'!$A$5:$A$113,0)),"")</f>
        <v>0</v>
      </c>
      <c r="BN159" s="102">
        <f>IFERROR(INDEX('I2020'!D$5:D$113,MATCH($C159,'I2020'!$A$5:$A$113,0)),"")</f>
        <v>0</v>
      </c>
      <c r="BO159" s="102">
        <f>IFERROR(INDEX('I2020'!E$5:E$113,MATCH($C159,'I2020'!$A$5:$A$113,0)),"")</f>
        <v>0</v>
      </c>
      <c r="BP159" s="102">
        <f>IFERROR(INDEX('I2020'!F$5:F$113,MATCH($C159,'I2020'!$A$5:$A$113,0)),"")</f>
        <v>0</v>
      </c>
      <c r="BQ159" s="392">
        <f>IFERROR(INDEX('I2020'!G$5:G$113,MATCH($C159,'I2020'!$A$5:$A$113,0)),"")</f>
        <v>0</v>
      </c>
      <c r="BR159" s="64"/>
      <c r="BS159" s="64"/>
      <c r="BT159" s="64"/>
      <c r="BU159" s="64"/>
      <c r="BV159" s="64"/>
      <c r="BW159" s="64"/>
      <c r="BX159" s="64"/>
      <c r="BY159" s="64"/>
      <c r="BZ159" s="64"/>
      <c r="CA159" s="64"/>
      <c r="CB159" s="64"/>
      <c r="CC159" s="64"/>
      <c r="CD159" s="64"/>
      <c r="CE159" s="64"/>
      <c r="CF159" s="64"/>
      <c r="CG159" s="64"/>
      <c r="CH159" s="64"/>
      <c r="CI159" s="124"/>
      <c r="CJ159" s="134"/>
    </row>
    <row r="160" spans="1:88" x14ac:dyDescent="0.3">
      <c r="A160" s="33"/>
      <c r="B160" s="68"/>
      <c r="C160" s="21" t="s">
        <v>162</v>
      </c>
      <c r="D160" s="102">
        <f>IFERROR(INDEX('I2015'!B$5:B$73,MATCH($C160,'I2015'!$A$5:$A$73,0)),"")</f>
        <v>0</v>
      </c>
      <c r="E160" s="102">
        <f>IFERROR(INDEX('I2015'!C$5:C$73,MATCH($C160,'I2015'!$A$5:$A$73,0)),"")</f>
        <v>0</v>
      </c>
      <c r="F160" s="102">
        <f>IFERROR(INDEX('I2015'!D$5:D$73,MATCH($C160,'I2015'!$A$5:$A$73,0)),"")</f>
        <v>0</v>
      </c>
      <c r="G160" s="102">
        <f>IFERROR(INDEX('I2015'!E$5:E$73,MATCH($C160,'I2015'!$A$5:$A$73,0)),"")</f>
        <v>0</v>
      </c>
      <c r="H160" s="102">
        <f>IFERROR(INDEX('I2015'!F$5:F$73,MATCH($C160,'I2015'!$A$5:$A$73,0)),"")</f>
        <v>0</v>
      </c>
      <c r="I160" s="102">
        <f>IFERROR(INDEX('I2015'!G$5:G$73,MATCH($C160,'I2015'!$A$5:$A$73,0)),"")</f>
        <v>0</v>
      </c>
      <c r="J160" s="102">
        <f>IFERROR(INDEX('I2015'!H$5:H$73,MATCH($C160,'I2015'!$A$5:$A$73,0)),"")</f>
        <v>0</v>
      </c>
      <c r="K160" s="102">
        <f>IFERROR(INDEX('I2015'!I$5:I$73,MATCH($C160,'I2015'!$A$5:$A$73,0)),"")</f>
        <v>0</v>
      </c>
      <c r="L160" s="102">
        <f>IFERROR(INDEX('I2015'!J$5:J$73,MATCH($C160,'I2015'!$A$5:$A$73,0)),"")</f>
        <v>112.9</v>
      </c>
      <c r="M160" s="102">
        <f>IFERROR(INDEX('I2015'!K$5:K$73,MATCH($C160,'I2015'!$A$5:$A$73,0)),"")</f>
        <v>291.27</v>
      </c>
      <c r="N160" s="102">
        <f>IFERROR(INDEX('I2015'!L$5:L$73,MATCH($C160,'I2015'!$A$5:$A$73,0)),"")</f>
        <v>262.95999999999998</v>
      </c>
      <c r="O160" s="102">
        <f>IFERROR(INDEX('I2015'!M$5:M$73,MATCH($C160,'I2015'!$A$5:$A$73,0)),"")</f>
        <v>234.31</v>
      </c>
      <c r="P160" s="102">
        <f>IFERROR(INDEX('I2016'!B$5:B$90,MATCH($C160,'I2016'!$A$5:$A$90,0)),"")</f>
        <v>205.32</v>
      </c>
      <c r="Q160" s="102">
        <f>IFERROR(INDEX('I2016'!C$5:C$90,MATCH($C160,'I2016'!$A$5:$A$90,0)),"")</f>
        <v>175.98</v>
      </c>
      <c r="R160" s="102">
        <f>IFERROR(INDEX('I2016'!D$5:D$90,MATCH($C160,'I2016'!$A$5:$A$90,0)),"")</f>
        <v>146.28</v>
      </c>
      <c r="S160" s="102">
        <f>IFERROR(INDEX('I2016'!E$5:E$90,MATCH($C160,'I2016'!$A$5:$A$90,0)),"")</f>
        <v>116.23</v>
      </c>
      <c r="T160" s="102">
        <f>IFERROR(INDEX('I2016'!F$5:F$90,MATCH($C160,'I2016'!$A$5:$A$90,0)),"")</f>
        <v>85.81</v>
      </c>
      <c r="U160" s="102">
        <f>IFERROR(INDEX('I2016'!G$5:G$90,MATCH($C160,'I2016'!$A$5:$A$90,0)),"")</f>
        <v>55.03</v>
      </c>
      <c r="V160" s="102">
        <f>IFERROR(INDEX('I2016'!H$5:H$90,MATCH($C160,'I2016'!$A$5:$A$90,0)),"")</f>
        <v>39.17</v>
      </c>
      <c r="W160" s="102">
        <f>IFERROR(INDEX('I2016'!I$5:I$90,MATCH($C160,'I2016'!$A$5:$A$90,0)),"")</f>
        <v>26.18</v>
      </c>
      <c r="X160" s="102">
        <f>IFERROR(INDEX('I2016'!J$5:J$90,MATCH($C160,'I2016'!$A$5:$A$90,0)),"")</f>
        <v>13.14</v>
      </c>
      <c r="Y160" s="102">
        <f>IFERROR(INDEX('I2016'!K$5:K$90,MATCH($C160,'I2016'!$A$5:$A$90,0)),"")</f>
        <v>0</v>
      </c>
      <c r="Z160" s="102">
        <f>IFERROR(INDEX('I2016'!L$5:L$90,MATCH($C160,'I2016'!$A$5:$A$90,0)),"")</f>
        <v>0</v>
      </c>
      <c r="AA160" s="102">
        <f>IFERROR(INDEX('I2016'!M$5:M$90,MATCH($C160,'I2016'!$A$5:$A$90,0)),"")</f>
        <v>0</v>
      </c>
      <c r="AB160" s="102" t="str">
        <f>IFERROR(INDEX('I2017'!B$5:B$96,MATCH($C160,'I2017'!$A$5:$A$96,0)),"")</f>
        <v/>
      </c>
      <c r="AC160" s="102" t="str">
        <f>IFERROR(INDEX('I2017'!C$5:C$96,MATCH($C160,'I2017'!$A$5:$A$96,0)),"")</f>
        <v/>
      </c>
      <c r="AD160" s="102" t="str">
        <f>IFERROR(INDEX('I2017'!D$5:D$96,MATCH($C160,'I2017'!$A$5:$A$96,0)),"")</f>
        <v/>
      </c>
      <c r="AE160" s="102" t="str">
        <f>IFERROR(INDEX('I2017'!E$5:E$96,MATCH($C160,'I2017'!$A$5:$A$96,0)),"")</f>
        <v/>
      </c>
      <c r="AF160" s="102" t="str">
        <f>IFERROR(INDEX('I2017'!F$5:F$96,MATCH($C160,'I2017'!$A$5:$A$96,0)),"")</f>
        <v/>
      </c>
      <c r="AG160" s="102" t="str">
        <f>IFERROR(INDEX('I2017'!G$5:G$96,MATCH($C160,'I2017'!$A$5:$A$96,0)),"")</f>
        <v/>
      </c>
      <c r="AH160" s="102" t="str">
        <f>IFERROR(INDEX('I2017'!H$5:H$96,MATCH($C160,'I2017'!$A$5:$A$96,0)),"")</f>
        <v/>
      </c>
      <c r="AI160" s="102" t="str">
        <f>IFERROR(INDEX('I2017'!I$5:I$96,MATCH($C160,'I2017'!$A$5:$A$96,0)),"")</f>
        <v/>
      </c>
      <c r="AJ160" s="102" t="str">
        <f>IFERROR(INDEX('I2017'!J$5:J$96,MATCH($C160,'I2017'!$A$5:$A$96,0)),"")</f>
        <v/>
      </c>
      <c r="AK160" s="102" t="str">
        <f>IFERROR(INDEX('I2017'!K$5:K$96,MATCH($C160,'I2017'!$A$5:$A$96,0)),"")</f>
        <v/>
      </c>
      <c r="AL160" s="102" t="str">
        <f>IFERROR(INDEX('I2017'!L$5:L$96,MATCH($C160,'I2017'!$A$5:$A$96,0)),"")</f>
        <v/>
      </c>
      <c r="AM160" s="102" t="str">
        <f>IFERROR(INDEX('I2017'!M$5:M$96,MATCH($C160,'I2017'!$A$5:$A$96,0)),"")</f>
        <v/>
      </c>
      <c r="AN160" s="102" t="str">
        <f>IFERROR(INDEX('I2018'!B$5:B$107,MATCH($C160,'I2018'!$A$5:$A$107,0)),"")</f>
        <v/>
      </c>
      <c r="AO160" s="102" t="str">
        <f>IFERROR(INDEX('I2018'!C$5:C$107,MATCH($C160,'I2018'!$A$5:$A$107,0)),"")</f>
        <v/>
      </c>
      <c r="AP160" s="102" t="str">
        <f>IFERROR(INDEX('I2018'!D$5:D$107,MATCH($C160,'I2018'!$A$5:$A$107,0)),"")</f>
        <v/>
      </c>
      <c r="AQ160" s="102" t="str">
        <f>IFERROR(INDEX('I2018'!E$5:E$107,MATCH($C160,'I2018'!$A$5:$A$107,0)),"")</f>
        <v/>
      </c>
      <c r="AR160" s="102" t="str">
        <f>IFERROR(INDEX('I2018'!F$5:F$107,MATCH($C160,'I2018'!$A$5:$A$107,0)),"")</f>
        <v/>
      </c>
      <c r="AS160" s="102" t="str">
        <f>IFERROR(INDEX('I2018'!G$5:G$107,MATCH($C160,'I2018'!$A$5:$A$107,0)),"")</f>
        <v/>
      </c>
      <c r="AT160" s="102" t="str">
        <f>IFERROR(INDEX('I2018'!H$5:H$107,MATCH($C160,'I2018'!$A$5:$A$107,0)),"")</f>
        <v/>
      </c>
      <c r="AU160" s="102" t="str">
        <f>IFERROR(INDEX('I2018'!I$5:I$107,MATCH($C160,'I2018'!$A$5:$A$107,0)),"")</f>
        <v/>
      </c>
      <c r="AV160" s="102" t="str">
        <f>IFERROR(INDEX('I2018'!J$5:J$107,MATCH($C160,'I2018'!$A$5:$A$107,0)),"")</f>
        <v/>
      </c>
      <c r="AW160" s="102" t="str">
        <f>IFERROR(INDEX('I2018'!K$5:K$107,MATCH($C160,'I2018'!$A$5:$A$107,0)),"")</f>
        <v/>
      </c>
      <c r="AX160" s="102" t="str">
        <f>IFERROR(INDEX('I2018'!L$5:L$107,MATCH($C160,'I2018'!$A$5:$A$107,0)),"")</f>
        <v/>
      </c>
      <c r="AY160" s="102" t="str">
        <f>IFERROR(INDEX('I2018'!M$5:M$107,MATCH($C160,'I2018'!$A$5:$A$107,0)),"")</f>
        <v/>
      </c>
      <c r="AZ160" s="102" t="str">
        <f>IFERROR(INDEX('I2019'!B$5:B$112,MATCH($C160,'I2019'!$A$5:$A$112,0)),"")</f>
        <v/>
      </c>
      <c r="BA160" s="102" t="str">
        <f>IFERROR(INDEX('I2019'!C$5:C$112,MATCH($C160,'I2019'!$A$5:$A$112,0)),"")</f>
        <v/>
      </c>
      <c r="BB160" s="102" t="str">
        <f>IFERROR(INDEX('I2019'!D$5:D$112,MATCH($C160,'I2019'!$A$5:$A$112,0)),"")</f>
        <v/>
      </c>
      <c r="BC160" s="102" t="str">
        <f>IFERROR(INDEX('I2019'!E$5:E$112,MATCH($C160,'I2019'!$A$5:$A$112,0)),"")</f>
        <v/>
      </c>
      <c r="BD160" s="102" t="str">
        <f>IFERROR(INDEX('I2019'!F$5:F$112,MATCH($C160,'I2019'!$A$5:$A$112,0)),"")</f>
        <v/>
      </c>
      <c r="BE160" s="102" t="str">
        <f>IFERROR(INDEX('I2019'!G$5:G$112,MATCH($C160,'I2019'!$A$5:$A$112,0)),"")</f>
        <v/>
      </c>
      <c r="BF160" s="102" t="str">
        <f>IFERROR(INDEX('I2019'!H$5:H$112,MATCH($C160,'I2019'!$A$5:$A$112,0)),"")</f>
        <v/>
      </c>
      <c r="BG160" s="102" t="str">
        <f>IFERROR(INDEX('I2019'!I$5:I$112,MATCH($C160,'I2019'!$A$5:$A$112,0)),"")</f>
        <v/>
      </c>
      <c r="BH160" s="102" t="str">
        <f>IFERROR(INDEX('I2019'!J$5:J$112,MATCH($C160,'I2019'!$A$5:$A$112,0)),"")</f>
        <v/>
      </c>
      <c r="BI160" s="102" t="str">
        <f>IFERROR(INDEX('I2019'!K$5:K$112,MATCH($C160,'I2019'!$A$5:$A$112,0)),"")</f>
        <v/>
      </c>
      <c r="BJ160" s="102" t="str">
        <f>IFERROR(INDEX('I2019'!L$5:L$112,MATCH($C160,'I2019'!$A$5:$A$112,0)),"")</f>
        <v/>
      </c>
      <c r="BK160" s="102" t="str">
        <f>IFERROR(INDEX('I2019'!M$5:M$112,MATCH($C160,'I2019'!$A$5:$A$112,0)),"")</f>
        <v/>
      </c>
      <c r="BL160" s="102" t="str">
        <f>IFERROR(INDEX('I2020'!B$5:B$113,MATCH($C160,'I2020'!$A$5:$A$113,0)),"")</f>
        <v/>
      </c>
      <c r="BM160" s="102" t="str">
        <f>IFERROR(INDEX('I2020'!C$5:C$113,MATCH($C160,'I2020'!$A$5:$A$113,0)),"")</f>
        <v/>
      </c>
      <c r="BN160" s="102" t="str">
        <f>IFERROR(INDEX('I2020'!D$5:D$113,MATCH($C160,'I2020'!$A$5:$A$113,0)),"")</f>
        <v/>
      </c>
      <c r="BO160" s="102" t="str">
        <f>IFERROR(INDEX('I2020'!E$5:E$113,MATCH($C160,'I2020'!$A$5:$A$113,0)),"")</f>
        <v/>
      </c>
      <c r="BP160" s="102" t="str">
        <f>IFERROR(INDEX('I2020'!F$5:F$113,MATCH($C160,'I2020'!$A$5:$A$113,0)),"")</f>
        <v/>
      </c>
      <c r="BQ160" s="392" t="str">
        <f>IFERROR(INDEX('I2020'!G$5:G$113,MATCH($C160,'I2020'!$A$5:$A$113,0)),"")</f>
        <v/>
      </c>
      <c r="BR160" s="64"/>
      <c r="BS160" s="64"/>
      <c r="BT160" s="64"/>
      <c r="BU160" s="64"/>
      <c r="BV160" s="64"/>
      <c r="BW160" s="64"/>
      <c r="BX160" s="64"/>
      <c r="BY160" s="64"/>
      <c r="BZ160" s="64"/>
      <c r="CA160" s="64"/>
      <c r="CB160" s="64"/>
      <c r="CC160" s="64"/>
      <c r="CD160" s="64"/>
      <c r="CE160" s="64"/>
      <c r="CF160" s="64"/>
      <c r="CG160" s="64"/>
      <c r="CH160" s="64"/>
      <c r="CI160" s="124"/>
      <c r="CJ160" s="134"/>
    </row>
    <row r="161" spans="1:88" x14ac:dyDescent="0.3">
      <c r="A161" s="33"/>
      <c r="B161" s="68"/>
      <c r="C161" s="21" t="s">
        <v>163</v>
      </c>
      <c r="D161" s="102">
        <f>IFERROR(INDEX('I2015'!B$5:B$73,MATCH($C161,'I2015'!$A$5:$A$73,0)),"")</f>
        <v>87.59</v>
      </c>
      <c r="E161" s="102">
        <f>IFERROR(INDEX('I2015'!C$5:C$73,MATCH($C161,'I2015'!$A$5:$A$73,0)),"")</f>
        <v>88.32</v>
      </c>
      <c r="F161" s="102">
        <f>IFERROR(INDEX('I2015'!D$5:D$73,MATCH($C161,'I2015'!$A$5:$A$73,0)),"")</f>
        <v>89.05</v>
      </c>
      <c r="G161" s="102">
        <f>IFERROR(INDEX('I2015'!E$5:E$73,MATCH($C161,'I2015'!$A$5:$A$73,0)),"")</f>
        <v>89.8</v>
      </c>
      <c r="H161" s="102">
        <f>IFERROR(INDEX('I2015'!F$5:F$73,MATCH($C161,'I2015'!$A$5:$A$73,0)),"")</f>
        <v>90.54</v>
      </c>
      <c r="I161" s="102">
        <f>IFERROR(INDEX('I2015'!G$5:G$73,MATCH($C161,'I2015'!$A$5:$A$73,0)),"")</f>
        <v>91.3</v>
      </c>
      <c r="J161" s="102">
        <f>IFERROR(INDEX('I2015'!H$5:H$73,MATCH($C161,'I2015'!$A$5:$A$73,0)),"")</f>
        <v>92.06</v>
      </c>
      <c r="K161" s="102">
        <f>IFERROR(INDEX('I2015'!I$5:I$73,MATCH($C161,'I2015'!$A$5:$A$73,0)),"")</f>
        <v>92.83</v>
      </c>
      <c r="L161" s="102">
        <f>IFERROR(INDEX('I2015'!J$5:J$73,MATCH($C161,'I2015'!$A$5:$A$73,0)),"")</f>
        <v>93.6</v>
      </c>
      <c r="M161" s="102">
        <f>IFERROR(INDEX('I2015'!K$5:K$73,MATCH($C161,'I2015'!$A$5:$A$73,0)),"")</f>
        <v>94.38</v>
      </c>
      <c r="N161" s="102">
        <f>IFERROR(INDEX('I2015'!L$5:L$73,MATCH($C161,'I2015'!$A$5:$A$73,0)),"")</f>
        <v>95.17</v>
      </c>
      <c r="O161" s="102">
        <f>IFERROR(INDEX('I2015'!M$5:M$73,MATCH($C161,'I2015'!$A$5:$A$73,0)),"")</f>
        <v>95.96</v>
      </c>
      <c r="P161" s="102">
        <f>IFERROR(INDEX('I2016'!B$5:B$90,MATCH($C161,'I2016'!$A$5:$A$90,0)),"")</f>
        <v>80.27</v>
      </c>
      <c r="Q161" s="102">
        <f>IFERROR(INDEX('I2016'!C$5:C$90,MATCH($C161,'I2016'!$A$5:$A$90,0)),"")</f>
        <v>64.44</v>
      </c>
      <c r="R161" s="102">
        <f>IFERROR(INDEX('I2016'!D$5:D$90,MATCH($C161,'I2016'!$A$5:$A$90,0)),"")</f>
        <v>48.48</v>
      </c>
      <c r="S161" s="102">
        <f>IFERROR(INDEX('I2016'!E$5:E$90,MATCH($C161,'I2016'!$A$5:$A$90,0)),"")</f>
        <v>32.39</v>
      </c>
      <c r="T161" s="102">
        <f>IFERROR(INDEX('I2016'!F$5:F$90,MATCH($C161,'I2016'!$A$5:$A$90,0)),"")</f>
        <v>16.170000000000002</v>
      </c>
      <c r="U161" s="102">
        <f>IFERROR(INDEX('I2016'!G$5:G$90,MATCH($C161,'I2016'!$A$5:$A$90,0)),"")</f>
        <v>0</v>
      </c>
      <c r="V161" s="102">
        <f>IFERROR(INDEX('I2016'!H$5:H$90,MATCH($C161,'I2016'!$A$5:$A$90,0)),"")</f>
        <v>0</v>
      </c>
      <c r="W161" s="102">
        <f>IFERROR(INDEX('I2016'!I$5:I$90,MATCH($C161,'I2016'!$A$5:$A$90,0)),"")</f>
        <v>0</v>
      </c>
      <c r="X161" s="102">
        <f>IFERROR(INDEX('I2016'!J$5:J$90,MATCH($C161,'I2016'!$A$5:$A$90,0)),"")</f>
        <v>0</v>
      </c>
      <c r="Y161" s="102">
        <f>IFERROR(INDEX('I2016'!K$5:K$90,MATCH($C161,'I2016'!$A$5:$A$90,0)),"")</f>
        <v>0</v>
      </c>
      <c r="Z161" s="102">
        <f>IFERROR(INDEX('I2016'!L$5:L$90,MATCH($C161,'I2016'!$A$5:$A$90,0)),"")</f>
        <v>0</v>
      </c>
      <c r="AA161" s="102">
        <f>IFERROR(INDEX('I2016'!M$5:M$90,MATCH($C161,'I2016'!$A$5:$A$90,0)),"")</f>
        <v>0</v>
      </c>
      <c r="AB161" s="102" t="str">
        <f>IFERROR(INDEX('I2017'!B$5:B$96,MATCH($C161,'I2017'!$A$5:$A$96,0)),"")</f>
        <v/>
      </c>
      <c r="AC161" s="102" t="str">
        <f>IFERROR(INDEX('I2017'!C$5:C$96,MATCH($C161,'I2017'!$A$5:$A$96,0)),"")</f>
        <v/>
      </c>
      <c r="AD161" s="102" t="str">
        <f>IFERROR(INDEX('I2017'!D$5:D$96,MATCH($C161,'I2017'!$A$5:$A$96,0)),"")</f>
        <v/>
      </c>
      <c r="AE161" s="102" t="str">
        <f>IFERROR(INDEX('I2017'!E$5:E$96,MATCH($C161,'I2017'!$A$5:$A$96,0)),"")</f>
        <v/>
      </c>
      <c r="AF161" s="102" t="str">
        <f>IFERROR(INDEX('I2017'!F$5:F$96,MATCH($C161,'I2017'!$A$5:$A$96,0)),"")</f>
        <v/>
      </c>
      <c r="AG161" s="102" t="str">
        <f>IFERROR(INDEX('I2017'!G$5:G$96,MATCH($C161,'I2017'!$A$5:$A$96,0)),"")</f>
        <v/>
      </c>
      <c r="AH161" s="102" t="str">
        <f>IFERROR(INDEX('I2017'!H$5:H$96,MATCH($C161,'I2017'!$A$5:$A$96,0)),"")</f>
        <v/>
      </c>
      <c r="AI161" s="102" t="str">
        <f>IFERROR(INDEX('I2017'!I$5:I$96,MATCH($C161,'I2017'!$A$5:$A$96,0)),"")</f>
        <v/>
      </c>
      <c r="AJ161" s="102" t="str">
        <f>IFERROR(INDEX('I2017'!J$5:J$96,MATCH($C161,'I2017'!$A$5:$A$96,0)),"")</f>
        <v/>
      </c>
      <c r="AK161" s="102" t="str">
        <f>IFERROR(INDEX('I2017'!K$5:K$96,MATCH($C161,'I2017'!$A$5:$A$96,0)),"")</f>
        <v/>
      </c>
      <c r="AL161" s="102" t="str">
        <f>IFERROR(INDEX('I2017'!L$5:L$96,MATCH($C161,'I2017'!$A$5:$A$96,0)),"")</f>
        <v/>
      </c>
      <c r="AM161" s="102" t="str">
        <f>IFERROR(INDEX('I2017'!M$5:M$96,MATCH($C161,'I2017'!$A$5:$A$96,0)),"")</f>
        <v/>
      </c>
      <c r="AN161" s="102" t="str">
        <f>IFERROR(INDEX('I2018'!B$5:B$107,MATCH($C161,'I2018'!$A$5:$A$107,0)),"")</f>
        <v/>
      </c>
      <c r="AO161" s="102" t="str">
        <f>IFERROR(INDEX('I2018'!C$5:C$107,MATCH($C161,'I2018'!$A$5:$A$107,0)),"")</f>
        <v/>
      </c>
      <c r="AP161" s="102" t="str">
        <f>IFERROR(INDEX('I2018'!D$5:D$107,MATCH($C161,'I2018'!$A$5:$A$107,0)),"")</f>
        <v/>
      </c>
      <c r="AQ161" s="102" t="str">
        <f>IFERROR(INDEX('I2018'!E$5:E$107,MATCH($C161,'I2018'!$A$5:$A$107,0)),"")</f>
        <v/>
      </c>
      <c r="AR161" s="102" t="str">
        <f>IFERROR(INDEX('I2018'!F$5:F$107,MATCH($C161,'I2018'!$A$5:$A$107,0)),"")</f>
        <v/>
      </c>
      <c r="AS161" s="102" t="str">
        <f>IFERROR(INDEX('I2018'!G$5:G$107,MATCH($C161,'I2018'!$A$5:$A$107,0)),"")</f>
        <v/>
      </c>
      <c r="AT161" s="102" t="str">
        <f>IFERROR(INDEX('I2018'!H$5:H$107,MATCH($C161,'I2018'!$A$5:$A$107,0)),"")</f>
        <v/>
      </c>
      <c r="AU161" s="102" t="str">
        <f>IFERROR(INDEX('I2018'!I$5:I$107,MATCH($C161,'I2018'!$A$5:$A$107,0)),"")</f>
        <v/>
      </c>
      <c r="AV161" s="102" t="str">
        <f>IFERROR(INDEX('I2018'!J$5:J$107,MATCH($C161,'I2018'!$A$5:$A$107,0)),"")</f>
        <v/>
      </c>
      <c r="AW161" s="102" t="str">
        <f>IFERROR(INDEX('I2018'!K$5:K$107,MATCH($C161,'I2018'!$A$5:$A$107,0)),"")</f>
        <v/>
      </c>
      <c r="AX161" s="102" t="str">
        <f>IFERROR(INDEX('I2018'!L$5:L$107,MATCH($C161,'I2018'!$A$5:$A$107,0)),"")</f>
        <v/>
      </c>
      <c r="AY161" s="102" t="str">
        <f>IFERROR(INDEX('I2018'!M$5:M$107,MATCH($C161,'I2018'!$A$5:$A$107,0)),"")</f>
        <v/>
      </c>
      <c r="AZ161" s="102" t="str">
        <f>IFERROR(INDEX('I2019'!B$5:B$112,MATCH($C161,'I2019'!$A$5:$A$112,0)),"")</f>
        <v/>
      </c>
      <c r="BA161" s="102" t="str">
        <f>IFERROR(INDEX('I2019'!C$5:C$112,MATCH($C161,'I2019'!$A$5:$A$112,0)),"")</f>
        <v/>
      </c>
      <c r="BB161" s="102" t="str">
        <f>IFERROR(INDEX('I2019'!D$5:D$112,MATCH($C161,'I2019'!$A$5:$A$112,0)),"")</f>
        <v/>
      </c>
      <c r="BC161" s="102" t="str">
        <f>IFERROR(INDEX('I2019'!E$5:E$112,MATCH($C161,'I2019'!$A$5:$A$112,0)),"")</f>
        <v/>
      </c>
      <c r="BD161" s="102" t="str">
        <f>IFERROR(INDEX('I2019'!F$5:F$112,MATCH($C161,'I2019'!$A$5:$A$112,0)),"")</f>
        <v/>
      </c>
      <c r="BE161" s="102" t="str">
        <f>IFERROR(INDEX('I2019'!G$5:G$112,MATCH($C161,'I2019'!$A$5:$A$112,0)),"")</f>
        <v/>
      </c>
      <c r="BF161" s="102" t="str">
        <f>IFERROR(INDEX('I2019'!H$5:H$112,MATCH($C161,'I2019'!$A$5:$A$112,0)),"")</f>
        <v/>
      </c>
      <c r="BG161" s="102" t="str">
        <f>IFERROR(INDEX('I2019'!I$5:I$112,MATCH($C161,'I2019'!$A$5:$A$112,0)),"")</f>
        <v/>
      </c>
      <c r="BH161" s="102" t="str">
        <f>IFERROR(INDEX('I2019'!J$5:J$112,MATCH($C161,'I2019'!$A$5:$A$112,0)),"")</f>
        <v/>
      </c>
      <c r="BI161" s="102" t="str">
        <f>IFERROR(INDEX('I2019'!K$5:K$112,MATCH($C161,'I2019'!$A$5:$A$112,0)),"")</f>
        <v/>
      </c>
      <c r="BJ161" s="102" t="str">
        <f>IFERROR(INDEX('I2019'!L$5:L$112,MATCH($C161,'I2019'!$A$5:$A$112,0)),"")</f>
        <v/>
      </c>
      <c r="BK161" s="102" t="str">
        <f>IFERROR(INDEX('I2019'!M$5:M$112,MATCH($C161,'I2019'!$A$5:$A$112,0)),"")</f>
        <v/>
      </c>
      <c r="BL161" s="102" t="str">
        <f>IFERROR(INDEX('I2020'!B$5:B$113,MATCH($C161,'I2020'!$A$5:$A$113,0)),"")</f>
        <v/>
      </c>
      <c r="BM161" s="102" t="str">
        <f>IFERROR(INDEX('I2020'!C$5:C$113,MATCH($C161,'I2020'!$A$5:$A$113,0)),"")</f>
        <v/>
      </c>
      <c r="BN161" s="102" t="str">
        <f>IFERROR(INDEX('I2020'!D$5:D$113,MATCH($C161,'I2020'!$A$5:$A$113,0)),"")</f>
        <v/>
      </c>
      <c r="BO161" s="102" t="str">
        <f>IFERROR(INDEX('I2020'!E$5:E$113,MATCH($C161,'I2020'!$A$5:$A$113,0)),"")</f>
        <v/>
      </c>
      <c r="BP161" s="102" t="str">
        <f>IFERROR(INDEX('I2020'!F$5:F$113,MATCH($C161,'I2020'!$A$5:$A$113,0)),"")</f>
        <v/>
      </c>
      <c r="BQ161" s="392" t="str">
        <f>IFERROR(INDEX('I2020'!G$5:G$113,MATCH($C161,'I2020'!$A$5:$A$113,0)),"")</f>
        <v/>
      </c>
      <c r="BR161" s="64"/>
      <c r="BS161" s="64"/>
      <c r="BT161" s="64"/>
      <c r="BU161" s="64"/>
      <c r="BV161" s="64"/>
      <c r="BW161" s="64"/>
      <c r="BX161" s="64"/>
      <c r="BY161" s="64"/>
      <c r="BZ161" s="64"/>
      <c r="CA161" s="64"/>
      <c r="CB161" s="64"/>
      <c r="CC161" s="64"/>
      <c r="CD161" s="64"/>
      <c r="CE161" s="64"/>
      <c r="CF161" s="64"/>
      <c r="CG161" s="64"/>
      <c r="CH161" s="64"/>
      <c r="CI161" s="124"/>
      <c r="CJ161" s="134"/>
    </row>
    <row r="162" spans="1:88" x14ac:dyDescent="0.3">
      <c r="A162" s="33"/>
      <c r="B162" s="68"/>
      <c r="C162" s="21" t="s">
        <v>133</v>
      </c>
      <c r="D162" s="102" t="str">
        <f>IFERROR(INDEX('I2015'!B$5:B$73,MATCH($C162,'I2015'!$A$5:$A$73,0)),"")</f>
        <v/>
      </c>
      <c r="E162" s="102" t="str">
        <f>IFERROR(INDEX('I2015'!C$5:C$73,MATCH($C162,'I2015'!$A$5:$A$73,0)),"")</f>
        <v/>
      </c>
      <c r="F162" s="102" t="str">
        <f>IFERROR(INDEX('I2015'!D$5:D$73,MATCH($C162,'I2015'!$A$5:$A$73,0)),"")</f>
        <v/>
      </c>
      <c r="G162" s="102" t="str">
        <f>IFERROR(INDEX('I2015'!E$5:E$73,MATCH($C162,'I2015'!$A$5:$A$73,0)),"")</f>
        <v/>
      </c>
      <c r="H162" s="102" t="str">
        <f>IFERROR(INDEX('I2015'!F$5:F$73,MATCH($C162,'I2015'!$A$5:$A$73,0)),"")</f>
        <v/>
      </c>
      <c r="I162" s="102" t="str">
        <f>IFERROR(INDEX('I2015'!G$5:G$73,MATCH($C162,'I2015'!$A$5:$A$73,0)),"")</f>
        <v/>
      </c>
      <c r="J162" s="102" t="str">
        <f>IFERROR(INDEX('I2015'!H$5:H$73,MATCH($C162,'I2015'!$A$5:$A$73,0)),"")</f>
        <v/>
      </c>
      <c r="K162" s="102" t="str">
        <f>IFERROR(INDEX('I2015'!I$5:I$73,MATCH($C162,'I2015'!$A$5:$A$73,0)),"")</f>
        <v/>
      </c>
      <c r="L162" s="102" t="str">
        <f>IFERROR(INDEX('I2015'!J$5:J$73,MATCH($C162,'I2015'!$A$5:$A$73,0)),"")</f>
        <v/>
      </c>
      <c r="M162" s="102" t="str">
        <f>IFERROR(INDEX('I2015'!K$5:K$73,MATCH($C162,'I2015'!$A$5:$A$73,0)),"")</f>
        <v/>
      </c>
      <c r="N162" s="102" t="str">
        <f>IFERROR(INDEX('I2015'!L$5:L$73,MATCH($C162,'I2015'!$A$5:$A$73,0)),"")</f>
        <v/>
      </c>
      <c r="O162" s="102" t="str">
        <f>IFERROR(INDEX('I2015'!M$5:M$73,MATCH($C162,'I2015'!$A$5:$A$73,0)),"")</f>
        <v/>
      </c>
      <c r="P162" s="102">
        <f>IFERROR(INDEX('I2016'!B$5:B$90,MATCH($C162,'I2016'!$A$5:$A$90,0)),"")</f>
        <v>0</v>
      </c>
      <c r="Q162" s="102">
        <f>IFERROR(INDEX('I2016'!C$5:C$90,MATCH($C162,'I2016'!$A$5:$A$90,0)),"")</f>
        <v>394.35</v>
      </c>
      <c r="R162" s="102">
        <f>IFERROR(INDEX('I2016'!D$5:D$90,MATCH($C162,'I2016'!$A$5:$A$90,0)),"")</f>
        <v>526.86</v>
      </c>
      <c r="S162" s="102">
        <f>IFERROR(INDEX('I2016'!E$5:E$90,MATCH($C162,'I2016'!$A$5:$A$90,0)),"")</f>
        <v>506.48</v>
      </c>
      <c r="T162" s="102">
        <f>IFERROR(INDEX('I2016'!F$5:F$90,MATCH($C162,'I2016'!$A$5:$A$90,0)),"")</f>
        <v>485.87</v>
      </c>
      <c r="U162" s="102">
        <f>IFERROR(INDEX('I2016'!G$5:G$90,MATCH($C162,'I2016'!$A$5:$A$90,0)),"")</f>
        <v>465.03</v>
      </c>
      <c r="V162" s="102">
        <f>IFERROR(INDEX('I2016'!H$5:H$90,MATCH($C162,'I2016'!$A$5:$A$90,0)),"")</f>
        <v>443.97</v>
      </c>
      <c r="W162" s="102">
        <f>IFERROR(INDEX('I2016'!I$5:I$90,MATCH($C162,'I2016'!$A$5:$A$90,0)),"")</f>
        <v>422.66</v>
      </c>
      <c r="X162" s="102">
        <f>IFERROR(INDEX('I2016'!J$5:J$90,MATCH($C162,'I2016'!$A$5:$A$90,0)),"")</f>
        <v>401.12</v>
      </c>
      <c r="Y162" s="102">
        <f>IFERROR(INDEX('I2016'!K$5:K$90,MATCH($C162,'I2016'!$A$5:$A$90,0)),"")</f>
        <v>379.34</v>
      </c>
      <c r="Z162" s="102">
        <f>IFERROR(INDEX('I2016'!L$5:L$90,MATCH($C162,'I2016'!$A$5:$A$90,0)),"")</f>
        <v>357.31</v>
      </c>
      <c r="AA162" s="102">
        <f>IFERROR(INDEX('I2016'!M$5:M$90,MATCH($C162,'I2016'!$A$5:$A$90,0)),"")</f>
        <v>335.05</v>
      </c>
      <c r="AB162" s="102">
        <f>IFERROR(INDEX('I2017'!B$5:B$96,MATCH($C162,'I2017'!$A$5:$A$96,0)),"")</f>
        <v>312.52999999999997</v>
      </c>
      <c r="AC162" s="102">
        <f>IFERROR(INDEX('I2017'!C$5:C$96,MATCH($C162,'I2017'!$A$5:$A$96,0)),"")</f>
        <v>224.34</v>
      </c>
      <c r="AD162" s="102">
        <f>IFERROR(INDEX('I2017'!D$5:D$96,MATCH($C162,'I2017'!$A$5:$A$96,0)),"")</f>
        <v>0</v>
      </c>
      <c r="AE162" s="102">
        <f>IFERROR(INDEX('I2017'!E$5:E$96,MATCH($C162,'I2017'!$A$5:$A$96,0)),"")</f>
        <v>0</v>
      </c>
      <c r="AF162" s="102">
        <f>IFERROR(INDEX('I2017'!F$5:F$96,MATCH($C162,'I2017'!$A$5:$A$96,0)),"")</f>
        <v>0</v>
      </c>
      <c r="AG162" s="102">
        <f>IFERROR(INDEX('I2017'!G$5:G$96,MATCH($C162,'I2017'!$A$5:$A$96,0)),"")</f>
        <v>0</v>
      </c>
      <c r="AH162" s="102">
        <f>IFERROR(INDEX('I2017'!H$5:H$96,MATCH($C162,'I2017'!$A$5:$A$96,0)),"")</f>
        <v>0</v>
      </c>
      <c r="AI162" s="102">
        <f>IFERROR(INDEX('I2017'!I$5:I$96,MATCH($C162,'I2017'!$A$5:$A$96,0)),"")</f>
        <v>0</v>
      </c>
      <c r="AJ162" s="102">
        <f>IFERROR(INDEX('I2017'!J$5:J$96,MATCH($C162,'I2017'!$A$5:$A$96,0)),"")</f>
        <v>0</v>
      </c>
      <c r="AK162" s="102">
        <f>IFERROR(INDEX('I2017'!K$5:K$96,MATCH($C162,'I2017'!$A$5:$A$96,0)),"")</f>
        <v>0</v>
      </c>
      <c r="AL162" s="102">
        <f>IFERROR(INDEX('I2017'!L$5:L$96,MATCH($C162,'I2017'!$A$5:$A$96,0)),"")</f>
        <v>0</v>
      </c>
      <c r="AM162" s="102">
        <f>IFERROR(INDEX('I2017'!M$5:M$96,MATCH($C162,'I2017'!$A$5:$A$96,0)),"")</f>
        <v>0</v>
      </c>
      <c r="AN162" s="102" t="str">
        <f>IFERROR(INDEX('I2018'!B$5:B$107,MATCH($C162,'I2018'!$A$5:$A$107,0)),"")</f>
        <v/>
      </c>
      <c r="AO162" s="102" t="str">
        <f>IFERROR(INDEX('I2018'!C$5:C$107,MATCH($C162,'I2018'!$A$5:$A$107,0)),"")</f>
        <v/>
      </c>
      <c r="AP162" s="102" t="str">
        <f>IFERROR(INDEX('I2018'!D$5:D$107,MATCH($C162,'I2018'!$A$5:$A$107,0)),"")</f>
        <v/>
      </c>
      <c r="AQ162" s="102" t="str">
        <f>IFERROR(INDEX('I2018'!E$5:E$107,MATCH($C162,'I2018'!$A$5:$A$107,0)),"")</f>
        <v/>
      </c>
      <c r="AR162" s="102" t="str">
        <f>IFERROR(INDEX('I2018'!F$5:F$107,MATCH($C162,'I2018'!$A$5:$A$107,0)),"")</f>
        <v/>
      </c>
      <c r="AS162" s="102" t="str">
        <f>IFERROR(INDEX('I2018'!G$5:G$107,MATCH($C162,'I2018'!$A$5:$A$107,0)),"")</f>
        <v/>
      </c>
      <c r="AT162" s="102" t="str">
        <f>IFERROR(INDEX('I2018'!H$5:H$107,MATCH($C162,'I2018'!$A$5:$A$107,0)),"")</f>
        <v/>
      </c>
      <c r="AU162" s="102" t="str">
        <f>IFERROR(INDEX('I2018'!I$5:I$107,MATCH($C162,'I2018'!$A$5:$A$107,0)),"")</f>
        <v/>
      </c>
      <c r="AV162" s="102" t="str">
        <f>IFERROR(INDEX('I2018'!J$5:J$107,MATCH($C162,'I2018'!$A$5:$A$107,0)),"")</f>
        <v/>
      </c>
      <c r="AW162" s="102" t="str">
        <f>IFERROR(INDEX('I2018'!K$5:K$107,MATCH($C162,'I2018'!$A$5:$A$107,0)),"")</f>
        <v/>
      </c>
      <c r="AX162" s="102" t="str">
        <f>IFERROR(INDEX('I2018'!L$5:L$107,MATCH($C162,'I2018'!$A$5:$A$107,0)),"")</f>
        <v/>
      </c>
      <c r="AY162" s="102" t="str">
        <f>IFERROR(INDEX('I2018'!M$5:M$107,MATCH($C162,'I2018'!$A$5:$A$107,0)),"")</f>
        <v/>
      </c>
      <c r="AZ162" s="102" t="str">
        <f>IFERROR(INDEX('I2019'!B$5:B$112,MATCH($C162,'I2019'!$A$5:$A$112,0)),"")</f>
        <v/>
      </c>
      <c r="BA162" s="102" t="str">
        <f>IFERROR(INDEX('I2019'!C$5:C$112,MATCH($C162,'I2019'!$A$5:$A$112,0)),"")</f>
        <v/>
      </c>
      <c r="BB162" s="102" t="str">
        <f>IFERROR(INDEX('I2019'!D$5:D$112,MATCH($C162,'I2019'!$A$5:$A$112,0)),"")</f>
        <v/>
      </c>
      <c r="BC162" s="102" t="str">
        <f>IFERROR(INDEX('I2019'!E$5:E$112,MATCH($C162,'I2019'!$A$5:$A$112,0)),"")</f>
        <v/>
      </c>
      <c r="BD162" s="102" t="str">
        <f>IFERROR(INDEX('I2019'!F$5:F$112,MATCH($C162,'I2019'!$A$5:$A$112,0)),"")</f>
        <v/>
      </c>
      <c r="BE162" s="102" t="str">
        <f>IFERROR(INDEX('I2019'!G$5:G$112,MATCH($C162,'I2019'!$A$5:$A$112,0)),"")</f>
        <v/>
      </c>
      <c r="BF162" s="102" t="str">
        <f>IFERROR(INDEX('I2019'!H$5:H$112,MATCH($C162,'I2019'!$A$5:$A$112,0)),"")</f>
        <v/>
      </c>
      <c r="BG162" s="102" t="str">
        <f>IFERROR(INDEX('I2019'!I$5:I$112,MATCH($C162,'I2019'!$A$5:$A$112,0)),"")</f>
        <v/>
      </c>
      <c r="BH162" s="102" t="str">
        <f>IFERROR(INDEX('I2019'!J$5:J$112,MATCH($C162,'I2019'!$A$5:$A$112,0)),"")</f>
        <v/>
      </c>
      <c r="BI162" s="102" t="str">
        <f>IFERROR(INDEX('I2019'!K$5:K$112,MATCH($C162,'I2019'!$A$5:$A$112,0)),"")</f>
        <v/>
      </c>
      <c r="BJ162" s="102" t="str">
        <f>IFERROR(INDEX('I2019'!L$5:L$112,MATCH($C162,'I2019'!$A$5:$A$112,0)),"")</f>
        <v/>
      </c>
      <c r="BK162" s="102" t="str">
        <f>IFERROR(INDEX('I2019'!M$5:M$112,MATCH($C162,'I2019'!$A$5:$A$112,0)),"")</f>
        <v/>
      </c>
      <c r="BL162" s="102" t="str">
        <f>IFERROR(INDEX('I2020'!B$5:B$113,MATCH($C162,'I2020'!$A$5:$A$113,0)),"")</f>
        <v/>
      </c>
      <c r="BM162" s="102" t="str">
        <f>IFERROR(INDEX('I2020'!C$5:C$113,MATCH($C162,'I2020'!$A$5:$A$113,0)),"")</f>
        <v/>
      </c>
      <c r="BN162" s="102" t="str">
        <f>IFERROR(INDEX('I2020'!D$5:D$113,MATCH($C162,'I2020'!$A$5:$A$113,0)),"")</f>
        <v/>
      </c>
      <c r="BO162" s="102" t="str">
        <f>IFERROR(INDEX('I2020'!E$5:E$113,MATCH($C162,'I2020'!$A$5:$A$113,0)),"")</f>
        <v/>
      </c>
      <c r="BP162" s="102" t="str">
        <f>IFERROR(INDEX('I2020'!F$5:F$113,MATCH($C162,'I2020'!$A$5:$A$113,0)),"")</f>
        <v/>
      </c>
      <c r="BQ162" s="392" t="str">
        <f>IFERROR(INDEX('I2020'!G$5:G$113,MATCH($C162,'I2020'!$A$5:$A$113,0)),"")</f>
        <v/>
      </c>
      <c r="BR162" s="64"/>
      <c r="BS162" s="64"/>
      <c r="BT162" s="64"/>
      <c r="BU162" s="64"/>
      <c r="BV162" s="64"/>
      <c r="BW162" s="64"/>
      <c r="BX162" s="64"/>
      <c r="BY162" s="64"/>
      <c r="BZ162" s="64"/>
      <c r="CA162" s="64"/>
      <c r="CB162" s="64"/>
      <c r="CC162" s="64"/>
      <c r="CD162" s="64"/>
      <c r="CE162" s="64"/>
      <c r="CF162" s="64"/>
      <c r="CG162" s="64"/>
      <c r="CH162" s="64"/>
      <c r="CI162" s="124"/>
      <c r="CJ162" s="134"/>
    </row>
    <row r="163" spans="1:88" x14ac:dyDescent="0.3">
      <c r="A163" s="33"/>
      <c r="B163" s="68"/>
      <c r="C163" s="21" t="s">
        <v>134</v>
      </c>
      <c r="D163" s="102" t="str">
        <f>IFERROR(INDEX('I2015'!B$5:B$73,MATCH($C163,'I2015'!$A$5:$A$73,0)),"")</f>
        <v/>
      </c>
      <c r="E163" s="102" t="str">
        <f>IFERROR(INDEX('I2015'!C$5:C$73,MATCH($C163,'I2015'!$A$5:$A$73,0)),"")</f>
        <v/>
      </c>
      <c r="F163" s="102" t="str">
        <f>IFERROR(INDEX('I2015'!D$5:D$73,MATCH($C163,'I2015'!$A$5:$A$73,0)),"")</f>
        <v/>
      </c>
      <c r="G163" s="102" t="str">
        <f>IFERROR(INDEX('I2015'!E$5:E$73,MATCH($C163,'I2015'!$A$5:$A$73,0)),"")</f>
        <v/>
      </c>
      <c r="H163" s="102" t="str">
        <f>IFERROR(INDEX('I2015'!F$5:F$73,MATCH($C163,'I2015'!$A$5:$A$73,0)),"")</f>
        <v/>
      </c>
      <c r="I163" s="102" t="str">
        <f>IFERROR(INDEX('I2015'!G$5:G$73,MATCH($C163,'I2015'!$A$5:$A$73,0)),"")</f>
        <v/>
      </c>
      <c r="J163" s="102" t="str">
        <f>IFERROR(INDEX('I2015'!H$5:H$73,MATCH($C163,'I2015'!$A$5:$A$73,0)),"")</f>
        <v/>
      </c>
      <c r="K163" s="102" t="str">
        <f>IFERROR(INDEX('I2015'!I$5:I$73,MATCH($C163,'I2015'!$A$5:$A$73,0)),"")</f>
        <v/>
      </c>
      <c r="L163" s="102" t="str">
        <f>IFERROR(INDEX('I2015'!J$5:J$73,MATCH($C163,'I2015'!$A$5:$A$73,0)),"")</f>
        <v/>
      </c>
      <c r="M163" s="102" t="str">
        <f>IFERROR(INDEX('I2015'!K$5:K$73,MATCH($C163,'I2015'!$A$5:$A$73,0)),"")</f>
        <v/>
      </c>
      <c r="N163" s="102" t="str">
        <f>IFERROR(INDEX('I2015'!L$5:L$73,MATCH($C163,'I2015'!$A$5:$A$73,0)),"")</f>
        <v/>
      </c>
      <c r="O163" s="102" t="str">
        <f>IFERROR(INDEX('I2015'!M$5:M$73,MATCH($C163,'I2015'!$A$5:$A$73,0)),"")</f>
        <v/>
      </c>
      <c r="P163" s="102" t="str">
        <f>IFERROR(INDEX('I2016'!B$5:B$90,MATCH($C163,'I2016'!$A$5:$A$90,0)),"")</f>
        <v/>
      </c>
      <c r="Q163" s="102" t="str">
        <f>IFERROR(INDEX('I2016'!C$5:C$90,MATCH($C163,'I2016'!$A$5:$A$90,0)),"")</f>
        <v/>
      </c>
      <c r="R163" s="102" t="str">
        <f>IFERROR(INDEX('I2016'!D$5:D$90,MATCH($C163,'I2016'!$A$5:$A$90,0)),"")</f>
        <v/>
      </c>
      <c r="S163" s="102" t="str">
        <f>IFERROR(INDEX('I2016'!E$5:E$90,MATCH($C163,'I2016'!$A$5:$A$90,0)),"")</f>
        <v/>
      </c>
      <c r="T163" s="102" t="str">
        <f>IFERROR(INDEX('I2016'!F$5:F$90,MATCH($C163,'I2016'!$A$5:$A$90,0)),"")</f>
        <v/>
      </c>
      <c r="U163" s="102" t="str">
        <f>IFERROR(INDEX('I2016'!G$5:G$90,MATCH($C163,'I2016'!$A$5:$A$90,0)),"")</f>
        <v/>
      </c>
      <c r="V163" s="102" t="str">
        <f>IFERROR(INDEX('I2016'!H$5:H$90,MATCH($C163,'I2016'!$A$5:$A$90,0)),"")</f>
        <v/>
      </c>
      <c r="W163" s="102" t="str">
        <f>IFERROR(INDEX('I2016'!I$5:I$90,MATCH($C163,'I2016'!$A$5:$A$90,0)),"")</f>
        <v/>
      </c>
      <c r="X163" s="102" t="str">
        <f>IFERROR(INDEX('I2016'!J$5:J$90,MATCH($C163,'I2016'!$A$5:$A$90,0)),"")</f>
        <v/>
      </c>
      <c r="Y163" s="102" t="str">
        <f>IFERROR(INDEX('I2016'!K$5:K$90,MATCH($C163,'I2016'!$A$5:$A$90,0)),"")</f>
        <v/>
      </c>
      <c r="Z163" s="102" t="str">
        <f>IFERROR(INDEX('I2016'!L$5:L$90,MATCH($C163,'I2016'!$A$5:$A$90,0)),"")</f>
        <v/>
      </c>
      <c r="AA163" s="102" t="str">
        <f>IFERROR(INDEX('I2016'!M$5:M$90,MATCH($C163,'I2016'!$A$5:$A$90,0)),"")</f>
        <v/>
      </c>
      <c r="AB163" s="102">
        <f>IFERROR(INDEX('I2017'!B$5:B$96,MATCH($C163,'I2017'!$A$5:$A$96,0)),"")</f>
        <v>459.5</v>
      </c>
      <c r="AC163" s="102">
        <f>IFERROR(INDEX('I2017'!C$5:C$96,MATCH($C163,'I2017'!$A$5:$A$96,0)),"")</f>
        <v>499.6</v>
      </c>
      <c r="AD163" s="102">
        <f>IFERROR(INDEX('I2017'!D$5:D$96,MATCH($C163,'I2017'!$A$5:$A$96,0)),"")</f>
        <v>335.43</v>
      </c>
      <c r="AE163" s="102">
        <f>IFERROR(INDEX('I2017'!E$5:E$96,MATCH($C163,'I2017'!$A$5:$A$96,0)),"")</f>
        <v>299.52999999999997</v>
      </c>
      <c r="AF163" s="102">
        <f>IFERROR(INDEX('I2017'!F$5:F$96,MATCH($C163,'I2017'!$A$5:$A$96,0)),"")</f>
        <v>746.47</v>
      </c>
      <c r="AG163" s="102">
        <f>IFERROR(INDEX('I2017'!G$5:G$96,MATCH($C163,'I2017'!$A$5:$A$96,0)),"")</f>
        <v>193.62</v>
      </c>
      <c r="AH163" s="102">
        <f>IFERROR(INDEX('I2017'!H$5:H$96,MATCH($C163,'I2017'!$A$5:$A$96,0)),"")</f>
        <v>0</v>
      </c>
      <c r="AI163" s="102">
        <f>IFERROR(INDEX('I2017'!I$5:I$96,MATCH($C163,'I2017'!$A$5:$A$96,0)),"")</f>
        <v>0</v>
      </c>
      <c r="AJ163" s="102">
        <f>IFERROR(INDEX('I2017'!J$5:J$96,MATCH($C163,'I2017'!$A$5:$A$96,0)),"")</f>
        <v>0</v>
      </c>
      <c r="AK163" s="102">
        <f>IFERROR(INDEX('I2017'!K$5:K$96,MATCH($C163,'I2017'!$A$5:$A$96,0)),"")</f>
        <v>0</v>
      </c>
      <c r="AL163" s="102">
        <f>IFERROR(INDEX('I2017'!L$5:L$96,MATCH($C163,'I2017'!$A$5:$A$96,0)),"")</f>
        <v>0</v>
      </c>
      <c r="AM163" s="102">
        <f>IFERROR(INDEX('I2017'!M$5:M$96,MATCH($C163,'I2017'!$A$5:$A$96,0)),"")</f>
        <v>0</v>
      </c>
      <c r="AN163" s="102" t="str">
        <f>IFERROR(INDEX('I2018'!B$5:B$107,MATCH($C163,'I2018'!$A$5:$A$107,0)),"")</f>
        <v/>
      </c>
      <c r="AO163" s="102" t="str">
        <f>IFERROR(INDEX('I2018'!C$5:C$107,MATCH($C163,'I2018'!$A$5:$A$107,0)),"")</f>
        <v/>
      </c>
      <c r="AP163" s="102" t="str">
        <f>IFERROR(INDEX('I2018'!D$5:D$107,MATCH($C163,'I2018'!$A$5:$A$107,0)),"")</f>
        <v/>
      </c>
      <c r="AQ163" s="102" t="str">
        <f>IFERROR(INDEX('I2018'!E$5:E$107,MATCH($C163,'I2018'!$A$5:$A$107,0)),"")</f>
        <v/>
      </c>
      <c r="AR163" s="102" t="str">
        <f>IFERROR(INDEX('I2018'!F$5:F$107,MATCH($C163,'I2018'!$A$5:$A$107,0)),"")</f>
        <v/>
      </c>
      <c r="AS163" s="102" t="str">
        <f>IFERROR(INDEX('I2018'!G$5:G$107,MATCH($C163,'I2018'!$A$5:$A$107,0)),"")</f>
        <v/>
      </c>
      <c r="AT163" s="102" t="str">
        <f>IFERROR(INDEX('I2018'!H$5:H$107,MATCH($C163,'I2018'!$A$5:$A$107,0)),"")</f>
        <v/>
      </c>
      <c r="AU163" s="102" t="str">
        <f>IFERROR(INDEX('I2018'!I$5:I$107,MATCH($C163,'I2018'!$A$5:$A$107,0)),"")</f>
        <v/>
      </c>
      <c r="AV163" s="102" t="str">
        <f>IFERROR(INDEX('I2018'!J$5:J$107,MATCH($C163,'I2018'!$A$5:$A$107,0)),"")</f>
        <v/>
      </c>
      <c r="AW163" s="102" t="str">
        <f>IFERROR(INDEX('I2018'!K$5:K$107,MATCH($C163,'I2018'!$A$5:$A$107,0)),"")</f>
        <v/>
      </c>
      <c r="AX163" s="102" t="str">
        <f>IFERROR(INDEX('I2018'!L$5:L$107,MATCH($C163,'I2018'!$A$5:$A$107,0)),"")</f>
        <v/>
      </c>
      <c r="AY163" s="102" t="str">
        <f>IFERROR(INDEX('I2018'!M$5:M$107,MATCH($C163,'I2018'!$A$5:$A$107,0)),"")</f>
        <v/>
      </c>
      <c r="AZ163" s="102" t="str">
        <f>IFERROR(INDEX('I2019'!B$5:B$112,MATCH($C163,'I2019'!$A$5:$A$112,0)),"")</f>
        <v/>
      </c>
      <c r="BA163" s="102" t="str">
        <f>IFERROR(INDEX('I2019'!C$5:C$112,MATCH($C163,'I2019'!$A$5:$A$112,0)),"")</f>
        <v/>
      </c>
      <c r="BB163" s="102" t="str">
        <f>IFERROR(INDEX('I2019'!D$5:D$112,MATCH($C163,'I2019'!$A$5:$A$112,0)),"")</f>
        <v/>
      </c>
      <c r="BC163" s="102" t="str">
        <f>IFERROR(INDEX('I2019'!E$5:E$112,MATCH($C163,'I2019'!$A$5:$A$112,0)),"")</f>
        <v/>
      </c>
      <c r="BD163" s="102" t="str">
        <f>IFERROR(INDEX('I2019'!F$5:F$112,MATCH($C163,'I2019'!$A$5:$A$112,0)),"")</f>
        <v/>
      </c>
      <c r="BE163" s="102" t="str">
        <f>IFERROR(INDEX('I2019'!G$5:G$112,MATCH($C163,'I2019'!$A$5:$A$112,0)),"")</f>
        <v/>
      </c>
      <c r="BF163" s="102" t="str">
        <f>IFERROR(INDEX('I2019'!H$5:H$112,MATCH($C163,'I2019'!$A$5:$A$112,0)),"")</f>
        <v/>
      </c>
      <c r="BG163" s="102" t="str">
        <f>IFERROR(INDEX('I2019'!I$5:I$112,MATCH($C163,'I2019'!$A$5:$A$112,0)),"")</f>
        <v/>
      </c>
      <c r="BH163" s="102" t="str">
        <f>IFERROR(INDEX('I2019'!J$5:J$112,MATCH($C163,'I2019'!$A$5:$A$112,0)),"")</f>
        <v/>
      </c>
      <c r="BI163" s="102" t="str">
        <f>IFERROR(INDEX('I2019'!K$5:K$112,MATCH($C163,'I2019'!$A$5:$A$112,0)),"")</f>
        <v/>
      </c>
      <c r="BJ163" s="102" t="str">
        <f>IFERROR(INDEX('I2019'!L$5:L$112,MATCH($C163,'I2019'!$A$5:$A$112,0)),"")</f>
        <v/>
      </c>
      <c r="BK163" s="102" t="str">
        <f>IFERROR(INDEX('I2019'!M$5:M$112,MATCH($C163,'I2019'!$A$5:$A$112,0)),"")</f>
        <v/>
      </c>
      <c r="BL163" s="102" t="str">
        <f>IFERROR(INDEX('I2020'!B$5:B$113,MATCH($C163,'I2020'!$A$5:$A$113,0)),"")</f>
        <v/>
      </c>
      <c r="BM163" s="102" t="str">
        <f>IFERROR(INDEX('I2020'!C$5:C$113,MATCH($C163,'I2020'!$A$5:$A$113,0)),"")</f>
        <v/>
      </c>
      <c r="BN163" s="102" t="str">
        <f>IFERROR(INDEX('I2020'!D$5:D$113,MATCH($C163,'I2020'!$A$5:$A$113,0)),"")</f>
        <v/>
      </c>
      <c r="BO163" s="102" t="str">
        <f>IFERROR(INDEX('I2020'!E$5:E$113,MATCH($C163,'I2020'!$A$5:$A$113,0)),"")</f>
        <v/>
      </c>
      <c r="BP163" s="102" t="str">
        <f>IFERROR(INDEX('I2020'!F$5:F$113,MATCH($C163,'I2020'!$A$5:$A$113,0)),"")</f>
        <v/>
      </c>
      <c r="BQ163" s="392" t="str">
        <f>IFERROR(INDEX('I2020'!G$5:G$113,MATCH($C163,'I2020'!$A$5:$A$113,0)),"")</f>
        <v/>
      </c>
      <c r="BR163" s="64"/>
      <c r="BS163" s="64"/>
      <c r="BT163" s="64"/>
      <c r="BU163" s="64"/>
      <c r="BV163" s="64"/>
      <c r="BW163" s="64"/>
      <c r="BX163" s="64"/>
      <c r="BY163" s="64"/>
      <c r="BZ163" s="64"/>
      <c r="CA163" s="64"/>
      <c r="CB163" s="64"/>
      <c r="CC163" s="64"/>
      <c r="CD163" s="64"/>
      <c r="CE163" s="64"/>
      <c r="CF163" s="64"/>
      <c r="CG163" s="64"/>
      <c r="CH163" s="64"/>
      <c r="CI163" s="124"/>
      <c r="CJ163" s="134"/>
    </row>
    <row r="164" spans="1:88" x14ac:dyDescent="0.3">
      <c r="A164" s="33"/>
      <c r="B164" s="68"/>
      <c r="C164" s="21" t="s">
        <v>135</v>
      </c>
      <c r="D164" s="102" t="str">
        <f>IFERROR(INDEX('I2015'!B$5:B$73,MATCH($C164,'I2015'!$A$5:$A$73,0)),"")</f>
        <v/>
      </c>
      <c r="E164" s="102" t="str">
        <f>IFERROR(INDEX('I2015'!C$5:C$73,MATCH($C164,'I2015'!$A$5:$A$73,0)),"")</f>
        <v/>
      </c>
      <c r="F164" s="102" t="str">
        <f>IFERROR(INDEX('I2015'!D$5:D$73,MATCH($C164,'I2015'!$A$5:$A$73,0)),"")</f>
        <v/>
      </c>
      <c r="G164" s="102" t="str">
        <f>IFERROR(INDEX('I2015'!E$5:E$73,MATCH($C164,'I2015'!$A$5:$A$73,0)),"")</f>
        <v/>
      </c>
      <c r="H164" s="102" t="str">
        <f>IFERROR(INDEX('I2015'!F$5:F$73,MATCH($C164,'I2015'!$A$5:$A$73,0)),"")</f>
        <v/>
      </c>
      <c r="I164" s="102" t="str">
        <f>IFERROR(INDEX('I2015'!G$5:G$73,MATCH($C164,'I2015'!$A$5:$A$73,0)),"")</f>
        <v/>
      </c>
      <c r="J164" s="102" t="str">
        <f>IFERROR(INDEX('I2015'!H$5:H$73,MATCH($C164,'I2015'!$A$5:$A$73,0)),"")</f>
        <v/>
      </c>
      <c r="K164" s="102" t="str">
        <f>IFERROR(INDEX('I2015'!I$5:I$73,MATCH($C164,'I2015'!$A$5:$A$73,0)),"")</f>
        <v/>
      </c>
      <c r="L164" s="102" t="str">
        <f>IFERROR(INDEX('I2015'!J$5:J$73,MATCH($C164,'I2015'!$A$5:$A$73,0)),"")</f>
        <v/>
      </c>
      <c r="M164" s="102" t="str">
        <f>IFERROR(INDEX('I2015'!K$5:K$73,MATCH($C164,'I2015'!$A$5:$A$73,0)),"")</f>
        <v/>
      </c>
      <c r="N164" s="102" t="str">
        <f>IFERROR(INDEX('I2015'!L$5:L$73,MATCH($C164,'I2015'!$A$5:$A$73,0)),"")</f>
        <v/>
      </c>
      <c r="O164" s="102" t="str">
        <f>IFERROR(INDEX('I2015'!M$5:M$73,MATCH($C164,'I2015'!$A$5:$A$73,0)),"")</f>
        <v/>
      </c>
      <c r="P164" s="102">
        <f>IFERROR(INDEX('I2016'!B$5:B$90,MATCH($C164,'I2016'!$A$5:$A$90,0)),"")</f>
        <v>6964.39</v>
      </c>
      <c r="Q164" s="102">
        <f>IFERROR(INDEX('I2016'!C$5:C$90,MATCH($C164,'I2016'!$A$5:$A$90,0)),"")</f>
        <v>0</v>
      </c>
      <c r="R164" s="102">
        <f>IFERROR(INDEX('I2016'!D$5:D$90,MATCH($C164,'I2016'!$A$5:$A$90,0)),"")</f>
        <v>0</v>
      </c>
      <c r="S164" s="102">
        <f>IFERROR(INDEX('I2016'!E$5:E$90,MATCH($C164,'I2016'!$A$5:$A$90,0)),"")</f>
        <v>0</v>
      </c>
      <c r="T164" s="102">
        <f>IFERROR(INDEX('I2016'!F$5:F$90,MATCH($C164,'I2016'!$A$5:$A$90,0)),"")</f>
        <v>0</v>
      </c>
      <c r="U164" s="102">
        <f>IFERROR(INDEX('I2016'!G$5:G$90,MATCH($C164,'I2016'!$A$5:$A$90,0)),"")</f>
        <v>0</v>
      </c>
      <c r="V164" s="102">
        <f>IFERROR(INDEX('I2016'!H$5:H$90,MATCH($C164,'I2016'!$A$5:$A$90,0)),"")</f>
        <v>0</v>
      </c>
      <c r="W164" s="102">
        <f>IFERROR(INDEX('I2016'!I$5:I$90,MATCH($C164,'I2016'!$A$5:$A$90,0)),"")</f>
        <v>0</v>
      </c>
      <c r="X164" s="102">
        <f>IFERROR(INDEX('I2016'!J$5:J$90,MATCH($C164,'I2016'!$A$5:$A$90,0)),"")</f>
        <v>0</v>
      </c>
      <c r="Y164" s="102">
        <f>IFERROR(INDEX('I2016'!K$5:K$90,MATCH($C164,'I2016'!$A$5:$A$90,0)),"")</f>
        <v>0</v>
      </c>
      <c r="Z164" s="102">
        <f>IFERROR(INDEX('I2016'!L$5:L$90,MATCH($C164,'I2016'!$A$5:$A$90,0)),"")</f>
        <v>0</v>
      </c>
      <c r="AA164" s="102">
        <f>IFERROR(INDEX('I2016'!M$5:M$90,MATCH($C164,'I2016'!$A$5:$A$90,0)),"")</f>
        <v>0</v>
      </c>
      <c r="AB164" s="102">
        <f>IFERROR(INDEX('I2017'!B$5:B$96,MATCH($C164,'I2017'!$A$5:$A$96,0)),"")</f>
        <v>7139.95</v>
      </c>
      <c r="AC164" s="102">
        <f>IFERROR(INDEX('I2017'!C$5:C$96,MATCH($C164,'I2017'!$A$5:$A$96,0)),"")</f>
        <v>0</v>
      </c>
      <c r="AD164" s="102">
        <f>IFERROR(INDEX('I2017'!D$5:D$96,MATCH($C164,'I2017'!$A$5:$A$96,0)),"")</f>
        <v>0</v>
      </c>
      <c r="AE164" s="102">
        <f>IFERROR(INDEX('I2017'!E$5:E$96,MATCH($C164,'I2017'!$A$5:$A$96,0)),"")</f>
        <v>0</v>
      </c>
      <c r="AF164" s="102">
        <f>IFERROR(INDEX('I2017'!F$5:F$96,MATCH($C164,'I2017'!$A$5:$A$96,0)),"")</f>
        <v>0</v>
      </c>
      <c r="AG164" s="102">
        <f>IFERROR(INDEX('I2017'!G$5:G$96,MATCH($C164,'I2017'!$A$5:$A$96,0)),"")</f>
        <v>0</v>
      </c>
      <c r="AH164" s="102">
        <f>IFERROR(INDEX('I2017'!H$5:H$96,MATCH($C164,'I2017'!$A$5:$A$96,0)),"")</f>
        <v>0</v>
      </c>
      <c r="AI164" s="102">
        <f>IFERROR(INDEX('I2017'!I$5:I$96,MATCH($C164,'I2017'!$A$5:$A$96,0)),"")</f>
        <v>0</v>
      </c>
      <c r="AJ164" s="102">
        <f>IFERROR(INDEX('I2017'!J$5:J$96,MATCH($C164,'I2017'!$A$5:$A$96,0)),"")</f>
        <v>0</v>
      </c>
      <c r="AK164" s="102">
        <f>IFERROR(INDEX('I2017'!K$5:K$96,MATCH($C164,'I2017'!$A$5:$A$96,0)),"")</f>
        <v>0</v>
      </c>
      <c r="AL164" s="102">
        <f>IFERROR(INDEX('I2017'!L$5:L$96,MATCH($C164,'I2017'!$A$5:$A$96,0)),"")</f>
        <v>0</v>
      </c>
      <c r="AM164" s="102">
        <f>IFERROR(INDEX('I2017'!M$5:M$96,MATCH($C164,'I2017'!$A$5:$A$96,0)),"")</f>
        <v>0</v>
      </c>
      <c r="AN164" s="102" t="str">
        <f>IFERROR(INDEX('I2018'!B$5:B$107,MATCH($C164,'I2018'!$A$5:$A$107,0)),"")</f>
        <v/>
      </c>
      <c r="AO164" s="102" t="str">
        <f>IFERROR(INDEX('I2018'!C$5:C$107,MATCH($C164,'I2018'!$A$5:$A$107,0)),"")</f>
        <v/>
      </c>
      <c r="AP164" s="102" t="str">
        <f>IFERROR(INDEX('I2018'!D$5:D$107,MATCH($C164,'I2018'!$A$5:$A$107,0)),"")</f>
        <v/>
      </c>
      <c r="AQ164" s="102" t="str">
        <f>IFERROR(INDEX('I2018'!E$5:E$107,MATCH($C164,'I2018'!$A$5:$A$107,0)),"")</f>
        <v/>
      </c>
      <c r="AR164" s="102" t="str">
        <f>IFERROR(INDEX('I2018'!F$5:F$107,MATCH($C164,'I2018'!$A$5:$A$107,0)),"")</f>
        <v/>
      </c>
      <c r="AS164" s="102" t="str">
        <f>IFERROR(INDEX('I2018'!G$5:G$107,MATCH($C164,'I2018'!$A$5:$A$107,0)),"")</f>
        <v/>
      </c>
      <c r="AT164" s="102" t="str">
        <f>IFERROR(INDEX('I2018'!H$5:H$107,MATCH($C164,'I2018'!$A$5:$A$107,0)),"")</f>
        <v/>
      </c>
      <c r="AU164" s="102" t="str">
        <f>IFERROR(INDEX('I2018'!I$5:I$107,MATCH($C164,'I2018'!$A$5:$A$107,0)),"")</f>
        <v/>
      </c>
      <c r="AV164" s="102" t="str">
        <f>IFERROR(INDEX('I2018'!J$5:J$107,MATCH($C164,'I2018'!$A$5:$A$107,0)),"")</f>
        <v/>
      </c>
      <c r="AW164" s="102" t="str">
        <f>IFERROR(INDEX('I2018'!K$5:K$107,MATCH($C164,'I2018'!$A$5:$A$107,0)),"")</f>
        <v/>
      </c>
      <c r="AX164" s="102" t="str">
        <f>IFERROR(INDEX('I2018'!L$5:L$107,MATCH($C164,'I2018'!$A$5:$A$107,0)),"")</f>
        <v/>
      </c>
      <c r="AY164" s="102" t="str">
        <f>IFERROR(INDEX('I2018'!M$5:M$107,MATCH($C164,'I2018'!$A$5:$A$107,0)),"")</f>
        <v/>
      </c>
      <c r="AZ164" s="102" t="str">
        <f>IFERROR(INDEX('I2019'!B$5:B$112,MATCH($C164,'I2019'!$A$5:$A$112,0)),"")</f>
        <v/>
      </c>
      <c r="BA164" s="102" t="str">
        <f>IFERROR(INDEX('I2019'!C$5:C$112,MATCH($C164,'I2019'!$A$5:$A$112,0)),"")</f>
        <v/>
      </c>
      <c r="BB164" s="102" t="str">
        <f>IFERROR(INDEX('I2019'!D$5:D$112,MATCH($C164,'I2019'!$A$5:$A$112,0)),"")</f>
        <v/>
      </c>
      <c r="BC164" s="102" t="str">
        <f>IFERROR(INDEX('I2019'!E$5:E$112,MATCH($C164,'I2019'!$A$5:$A$112,0)),"")</f>
        <v/>
      </c>
      <c r="BD164" s="102" t="str">
        <f>IFERROR(INDEX('I2019'!F$5:F$112,MATCH($C164,'I2019'!$A$5:$A$112,0)),"")</f>
        <v/>
      </c>
      <c r="BE164" s="102" t="str">
        <f>IFERROR(INDEX('I2019'!G$5:G$112,MATCH($C164,'I2019'!$A$5:$A$112,0)),"")</f>
        <v/>
      </c>
      <c r="BF164" s="102" t="str">
        <f>IFERROR(INDEX('I2019'!H$5:H$112,MATCH($C164,'I2019'!$A$5:$A$112,0)),"")</f>
        <v/>
      </c>
      <c r="BG164" s="102" t="str">
        <f>IFERROR(INDEX('I2019'!I$5:I$112,MATCH($C164,'I2019'!$A$5:$A$112,0)),"")</f>
        <v/>
      </c>
      <c r="BH164" s="102" t="str">
        <f>IFERROR(INDEX('I2019'!J$5:J$112,MATCH($C164,'I2019'!$A$5:$A$112,0)),"")</f>
        <v/>
      </c>
      <c r="BI164" s="102" t="str">
        <f>IFERROR(INDEX('I2019'!K$5:K$112,MATCH($C164,'I2019'!$A$5:$A$112,0)),"")</f>
        <v/>
      </c>
      <c r="BJ164" s="102" t="str">
        <f>IFERROR(INDEX('I2019'!L$5:L$112,MATCH($C164,'I2019'!$A$5:$A$112,0)),"")</f>
        <v/>
      </c>
      <c r="BK164" s="102" t="str">
        <f>IFERROR(INDEX('I2019'!M$5:M$112,MATCH($C164,'I2019'!$A$5:$A$112,0)),"")</f>
        <v/>
      </c>
      <c r="BL164" s="102" t="str">
        <f>IFERROR(INDEX('I2020'!B$5:B$113,MATCH($C164,'I2020'!$A$5:$A$113,0)),"")</f>
        <v/>
      </c>
      <c r="BM164" s="102" t="str">
        <f>IFERROR(INDEX('I2020'!C$5:C$113,MATCH($C164,'I2020'!$A$5:$A$113,0)),"")</f>
        <v/>
      </c>
      <c r="BN164" s="102" t="str">
        <f>IFERROR(INDEX('I2020'!D$5:D$113,MATCH($C164,'I2020'!$A$5:$A$113,0)),"")</f>
        <v/>
      </c>
      <c r="BO164" s="102" t="str">
        <f>IFERROR(INDEX('I2020'!E$5:E$113,MATCH($C164,'I2020'!$A$5:$A$113,0)),"")</f>
        <v/>
      </c>
      <c r="BP164" s="102" t="str">
        <f>IFERROR(INDEX('I2020'!F$5:F$113,MATCH($C164,'I2020'!$A$5:$A$113,0)),"")</f>
        <v/>
      </c>
      <c r="BQ164" s="392" t="str">
        <f>IFERROR(INDEX('I2020'!G$5:G$113,MATCH($C164,'I2020'!$A$5:$A$113,0)),"")</f>
        <v/>
      </c>
      <c r="BR164" s="64"/>
      <c r="BS164" s="64"/>
      <c r="BT164" s="64"/>
      <c r="BU164" s="64"/>
      <c r="BV164" s="64"/>
      <c r="BW164" s="64"/>
      <c r="BX164" s="64"/>
      <c r="BY164" s="64"/>
      <c r="BZ164" s="64"/>
      <c r="CA164" s="64"/>
      <c r="CB164" s="64"/>
      <c r="CC164" s="64"/>
      <c r="CD164" s="64"/>
      <c r="CE164" s="64"/>
      <c r="CF164" s="64"/>
      <c r="CG164" s="64"/>
      <c r="CH164" s="64"/>
      <c r="CI164" s="124"/>
      <c r="CJ164" s="134"/>
    </row>
    <row r="165" spans="1:88" x14ac:dyDescent="0.3">
      <c r="A165" s="33"/>
      <c r="B165" s="68"/>
      <c r="C165" s="21" t="s">
        <v>110</v>
      </c>
      <c r="D165" s="102" t="str">
        <f>IFERROR(INDEX('I2015'!B$5:B$73,MATCH($C165,'I2015'!$A$5:$A$73,0)),"")</f>
        <v/>
      </c>
      <c r="E165" s="102" t="str">
        <f>IFERROR(INDEX('I2015'!C$5:C$73,MATCH($C165,'I2015'!$A$5:$A$73,0)),"")</f>
        <v/>
      </c>
      <c r="F165" s="102" t="str">
        <f>IFERROR(INDEX('I2015'!D$5:D$73,MATCH($C165,'I2015'!$A$5:$A$73,0)),"")</f>
        <v/>
      </c>
      <c r="G165" s="102" t="str">
        <f>IFERROR(INDEX('I2015'!E$5:E$73,MATCH($C165,'I2015'!$A$5:$A$73,0)),"")</f>
        <v/>
      </c>
      <c r="H165" s="102" t="str">
        <f>IFERROR(INDEX('I2015'!F$5:F$73,MATCH($C165,'I2015'!$A$5:$A$73,0)),"")</f>
        <v/>
      </c>
      <c r="I165" s="102" t="str">
        <f>IFERROR(INDEX('I2015'!G$5:G$73,MATCH($C165,'I2015'!$A$5:$A$73,0)),"")</f>
        <v/>
      </c>
      <c r="J165" s="102" t="str">
        <f>IFERROR(INDEX('I2015'!H$5:H$73,MATCH($C165,'I2015'!$A$5:$A$73,0)),"")</f>
        <v/>
      </c>
      <c r="K165" s="102" t="str">
        <f>IFERROR(INDEX('I2015'!I$5:I$73,MATCH($C165,'I2015'!$A$5:$A$73,0)),"")</f>
        <v/>
      </c>
      <c r="L165" s="102" t="str">
        <f>IFERROR(INDEX('I2015'!J$5:J$73,MATCH($C165,'I2015'!$A$5:$A$73,0)),"")</f>
        <v/>
      </c>
      <c r="M165" s="102" t="str">
        <f>IFERROR(INDEX('I2015'!K$5:K$73,MATCH($C165,'I2015'!$A$5:$A$73,0)),"")</f>
        <v/>
      </c>
      <c r="N165" s="102" t="str">
        <f>IFERROR(INDEX('I2015'!L$5:L$73,MATCH($C165,'I2015'!$A$5:$A$73,0)),"")</f>
        <v/>
      </c>
      <c r="O165" s="102" t="str">
        <f>IFERROR(INDEX('I2015'!M$5:M$73,MATCH($C165,'I2015'!$A$5:$A$73,0)),"")</f>
        <v/>
      </c>
      <c r="P165" s="102" t="str">
        <f>IFERROR(INDEX('I2016'!B$5:B$90,MATCH($C165,'I2016'!$A$5:$A$90,0)),"")</f>
        <v/>
      </c>
      <c r="Q165" s="102" t="str">
        <f>IFERROR(INDEX('I2016'!C$5:C$90,MATCH($C165,'I2016'!$A$5:$A$90,0)),"")</f>
        <v/>
      </c>
      <c r="R165" s="102" t="str">
        <f>IFERROR(INDEX('I2016'!D$5:D$90,MATCH($C165,'I2016'!$A$5:$A$90,0)),"")</f>
        <v/>
      </c>
      <c r="S165" s="102" t="str">
        <f>IFERROR(INDEX('I2016'!E$5:E$90,MATCH($C165,'I2016'!$A$5:$A$90,0)),"")</f>
        <v/>
      </c>
      <c r="T165" s="102" t="str">
        <f>IFERROR(INDEX('I2016'!F$5:F$90,MATCH($C165,'I2016'!$A$5:$A$90,0)),"")</f>
        <v/>
      </c>
      <c r="U165" s="102" t="str">
        <f>IFERROR(INDEX('I2016'!G$5:G$90,MATCH($C165,'I2016'!$A$5:$A$90,0)),"")</f>
        <v/>
      </c>
      <c r="V165" s="102" t="str">
        <f>IFERROR(INDEX('I2016'!H$5:H$90,MATCH($C165,'I2016'!$A$5:$A$90,0)),"")</f>
        <v/>
      </c>
      <c r="W165" s="102" t="str">
        <f>IFERROR(INDEX('I2016'!I$5:I$90,MATCH($C165,'I2016'!$A$5:$A$90,0)),"")</f>
        <v/>
      </c>
      <c r="X165" s="102" t="str">
        <f>IFERROR(INDEX('I2016'!J$5:J$90,MATCH($C165,'I2016'!$A$5:$A$90,0)),"")</f>
        <v/>
      </c>
      <c r="Y165" s="102" t="str">
        <f>IFERROR(INDEX('I2016'!K$5:K$90,MATCH($C165,'I2016'!$A$5:$A$90,0)),"")</f>
        <v/>
      </c>
      <c r="Z165" s="102" t="str">
        <f>IFERROR(INDEX('I2016'!L$5:L$90,MATCH($C165,'I2016'!$A$5:$A$90,0)),"")</f>
        <v/>
      </c>
      <c r="AA165" s="102" t="str">
        <f>IFERROR(INDEX('I2016'!M$5:M$90,MATCH($C165,'I2016'!$A$5:$A$90,0)),"")</f>
        <v/>
      </c>
      <c r="AB165" s="102">
        <f>IFERROR(INDEX('I2017'!B$5:B$96,MATCH($C165,'I2017'!$A$5:$A$96,0)),"")</f>
        <v>0</v>
      </c>
      <c r="AC165" s="102">
        <f>IFERROR(INDEX('I2017'!C$5:C$96,MATCH($C165,'I2017'!$A$5:$A$96,0)),"")</f>
        <v>446.95</v>
      </c>
      <c r="AD165" s="102">
        <f>IFERROR(INDEX('I2017'!D$5:D$96,MATCH($C165,'I2017'!$A$5:$A$96,0)),"")</f>
        <v>2155.52</v>
      </c>
      <c r="AE165" s="102">
        <f>IFERROR(INDEX('I2017'!E$5:E$96,MATCH($C165,'I2017'!$A$5:$A$96,0)),"")</f>
        <v>2109.7600000000002</v>
      </c>
      <c r="AF165" s="102">
        <f>IFERROR(INDEX('I2017'!F$5:F$96,MATCH($C165,'I2017'!$A$5:$A$96,0)),"")</f>
        <v>2063.4299999999998</v>
      </c>
      <c r="AG165" s="102">
        <f>IFERROR(INDEX('I2017'!G$5:G$96,MATCH($C165,'I2017'!$A$5:$A$96,0)),"")</f>
        <v>2016.54</v>
      </c>
      <c r="AH165" s="102">
        <f>IFERROR(INDEX('I2017'!H$5:H$96,MATCH($C165,'I2017'!$A$5:$A$96,0)),"")</f>
        <v>1969.08</v>
      </c>
      <c r="AI165" s="102">
        <f>IFERROR(INDEX('I2017'!I$5:I$96,MATCH($C165,'I2017'!$A$5:$A$96,0)),"")</f>
        <v>1921.03</v>
      </c>
      <c r="AJ165" s="102">
        <f>IFERROR(INDEX('I2017'!J$5:J$96,MATCH($C165,'I2017'!$A$5:$A$96,0)),"")</f>
        <v>1872.39</v>
      </c>
      <c r="AK165" s="102">
        <f>IFERROR(INDEX('I2017'!K$5:K$96,MATCH($C165,'I2017'!$A$5:$A$96,0)),"")</f>
        <v>2485.15</v>
      </c>
      <c r="AL165" s="102">
        <f>IFERROR(INDEX('I2017'!L$5:L$96,MATCH($C165,'I2017'!$A$5:$A$96,0)),"")</f>
        <v>1897.15</v>
      </c>
      <c r="AM165" s="102">
        <f>IFERROR(INDEX('I2017'!M$5:M$96,MATCH($C165,'I2017'!$A$5:$A$96,0)),"")</f>
        <v>1843.76</v>
      </c>
      <c r="AN165" s="102">
        <f>IFERROR(INDEX('I2018'!B$5:B$107,MATCH($C165,'I2018'!$A$5:$A$107,0)),"")</f>
        <v>1789.72</v>
      </c>
      <c r="AO165" s="102">
        <f>IFERROR(INDEX('I2018'!C$5:C$107,MATCH($C165,'I2018'!$A$5:$A$107,0)),"")</f>
        <v>1735.02</v>
      </c>
      <c r="AP165" s="102">
        <f>IFERROR(INDEX('I2018'!D$5:D$107,MATCH($C165,'I2018'!$A$5:$A$107,0)),"")</f>
        <v>1679.64</v>
      </c>
      <c r="AQ165" s="102">
        <f>IFERROR(INDEX('I2018'!E$5:E$107,MATCH($C165,'I2018'!$A$5:$A$107,0)),"")</f>
        <v>1623.59</v>
      </c>
      <c r="AR165" s="102">
        <f>IFERROR(INDEX('I2018'!F$5:F$107,MATCH($C165,'I2018'!$A$5:$A$107,0)),"")</f>
        <v>1566.85</v>
      </c>
      <c r="AS165" s="102">
        <f>IFERROR(INDEX('I2018'!G$5:G$107,MATCH($C165,'I2018'!$A$5:$A$107,0)),"")</f>
        <v>1509.41</v>
      </c>
      <c r="AT165" s="102">
        <f>IFERROR(INDEX('I2018'!H$5:H$107,MATCH($C165,'I2018'!$A$5:$A$107,0)),"")</f>
        <v>1451.26</v>
      </c>
      <c r="AU165" s="102">
        <f>IFERROR(INDEX('I2018'!I$5:I$107,MATCH($C165,'I2018'!$A$5:$A$107,0)),"")</f>
        <v>1392.41</v>
      </c>
      <c r="AV165" s="102">
        <f>IFERROR(INDEX('I2018'!J$5:J$107,MATCH($C165,'I2018'!$A$5:$A$107,0)),"")</f>
        <v>1332.83</v>
      </c>
      <c r="AW165" s="102">
        <f>IFERROR(INDEX('I2018'!K$5:K$107,MATCH($C165,'I2018'!$A$5:$A$107,0)),"")</f>
        <v>1272.52</v>
      </c>
      <c r="AX165" s="102">
        <f>IFERROR(INDEX('I2018'!L$5:L$107,MATCH($C165,'I2018'!$A$5:$A$107,0)),"")</f>
        <v>1211.48</v>
      </c>
      <c r="AY165" s="102">
        <f>IFERROR(INDEX('I2018'!M$5:M$107,MATCH($C165,'I2018'!$A$5:$A$107,0)),"")</f>
        <v>1149.68</v>
      </c>
      <c r="AZ165" s="102">
        <f>IFERROR(INDEX('I2019'!B$5:B$112,MATCH($C165,'I2019'!$A$5:$A$112,0)),"")</f>
        <v>1087.1300000000001</v>
      </c>
      <c r="BA165" s="102">
        <f>IFERROR(INDEX('I2019'!C$5:C$112,MATCH($C165,'I2019'!$A$5:$A$112,0)),"")</f>
        <v>1023.81</v>
      </c>
      <c r="BB165" s="102">
        <f>IFERROR(INDEX('I2019'!D$5:D$112,MATCH($C165,'I2019'!$A$5:$A$112,0)),"")</f>
        <v>959.7</v>
      </c>
      <c r="BC165" s="102">
        <f>IFERROR(INDEX('I2019'!E$5:E$112,MATCH($C165,'I2019'!$A$5:$A$112,0)),"")</f>
        <v>894.81</v>
      </c>
      <c r="BD165" s="102">
        <f>IFERROR(INDEX('I2019'!F$5:F$112,MATCH($C165,'I2019'!$A$5:$A$112,0)),"")</f>
        <v>829.13</v>
      </c>
      <c r="BE165" s="102">
        <f>IFERROR(INDEX('I2019'!G$5:G$112,MATCH($C165,'I2019'!$A$5:$A$112,0)),"")</f>
        <v>762.66</v>
      </c>
      <c r="BF165" s="102">
        <f>IFERROR(INDEX('I2019'!H$5:H$112,MATCH($C165,'I2019'!$A$5:$A$112,0)),"")</f>
        <v>695.36</v>
      </c>
      <c r="BG165" s="102">
        <f>IFERROR(INDEX('I2019'!I$5:I$112,MATCH($C165,'I2019'!$A$5:$A$112,0)),"")</f>
        <v>627.22</v>
      </c>
      <c r="BH165" s="102">
        <f>IFERROR(INDEX('I2019'!J$5:J$112,MATCH($C165,'I2019'!$A$5:$A$112,0)),"")</f>
        <v>558.27</v>
      </c>
      <c r="BI165" s="102">
        <f>IFERROR(INDEX('I2019'!K$5:K$112,MATCH($C165,'I2019'!$A$5:$A$112,0)),"")</f>
        <v>488.46</v>
      </c>
      <c r="BJ165" s="102">
        <f>IFERROR(INDEX('I2019'!L$5:L$112,MATCH($C165,'I2019'!$A$5:$A$112,0)),"")</f>
        <v>427.8</v>
      </c>
      <c r="BK165" s="102">
        <f>IFERROR(INDEX('I2019'!M$5:M$112,MATCH($C165,'I2019'!$A$5:$A$112,0)),"")</f>
        <v>386.38</v>
      </c>
      <c r="BL165" s="102">
        <f>IFERROR(INDEX('I2020'!B$5:B$113,MATCH($C165,'I2020'!$A$5:$A$113,0)),"")</f>
        <v>344.67</v>
      </c>
      <c r="BM165" s="102">
        <f>IFERROR(INDEX('I2020'!C$5:C$113,MATCH($C165,'I2020'!$A$5:$A$113,0)),"")</f>
        <v>302.66000000000003</v>
      </c>
      <c r="BN165" s="102">
        <f>IFERROR(INDEX('I2020'!D$5:D$113,MATCH($C165,'I2020'!$A$5:$A$113,0)),"")</f>
        <v>260.33999999999997</v>
      </c>
      <c r="BO165" s="102">
        <f>IFERROR(INDEX('I2020'!E$5:E$113,MATCH($C165,'I2020'!$A$5:$A$113,0)),"")</f>
        <v>217.72</v>
      </c>
      <c r="BP165" s="102">
        <f>IFERROR(INDEX('I2020'!F$5:F$113,MATCH($C165,'I2020'!$A$5:$A$113,0)),"")</f>
        <v>174.8</v>
      </c>
      <c r="BQ165" s="392">
        <f>IFERROR(INDEX('I2020'!G$5:G$113,MATCH($C165,'I2020'!$A$5:$A$113,0)),"")</f>
        <v>131.57</v>
      </c>
      <c r="BR165" s="64"/>
      <c r="BS165" s="64"/>
      <c r="BT165" s="64"/>
      <c r="BU165" s="64"/>
      <c r="BV165" s="64"/>
      <c r="BW165" s="64"/>
      <c r="BX165" s="64"/>
      <c r="BY165" s="64"/>
      <c r="BZ165" s="64"/>
      <c r="CA165" s="64"/>
      <c r="CB165" s="64"/>
      <c r="CC165" s="64"/>
      <c r="CD165" s="64"/>
      <c r="CE165" s="64"/>
      <c r="CF165" s="64"/>
      <c r="CG165" s="64"/>
      <c r="CH165" s="64"/>
      <c r="CI165" s="124"/>
      <c r="CJ165" s="134"/>
    </row>
    <row r="166" spans="1:88" x14ac:dyDescent="0.3">
      <c r="A166" s="33"/>
      <c r="B166" s="166"/>
      <c r="C166" s="26" t="s">
        <v>111</v>
      </c>
      <c r="D166" s="24">
        <f>IFERROR(INDEX('I2015'!B$5:B$73,MATCH($C166,'I2015'!$A$5:$A$73,0)),"")</f>
        <v>87.59</v>
      </c>
      <c r="E166" s="24">
        <f>IFERROR(INDEX('I2015'!C$5:C$73,MATCH($C166,'I2015'!$A$5:$A$73,0)),"")</f>
        <v>88.32</v>
      </c>
      <c r="F166" s="24">
        <f>IFERROR(INDEX('I2015'!D$5:D$73,MATCH($C166,'I2015'!$A$5:$A$73,0)),"")</f>
        <v>97.94</v>
      </c>
      <c r="G166" s="24">
        <f>IFERROR(INDEX('I2015'!E$5:E$73,MATCH($C166,'I2015'!$A$5:$A$73,0)),"")</f>
        <v>89.8</v>
      </c>
      <c r="H166" s="24">
        <f>IFERROR(INDEX('I2015'!F$5:F$73,MATCH($C166,'I2015'!$A$5:$A$73,0)),"")</f>
        <v>90.54</v>
      </c>
      <c r="I166" s="24">
        <f>IFERROR(INDEX('I2015'!G$5:G$73,MATCH($C166,'I2015'!$A$5:$A$73,0)),"")</f>
        <v>195.64999999999998</v>
      </c>
      <c r="J166" s="24">
        <f>IFERROR(INDEX('I2015'!H$5:H$73,MATCH($C166,'I2015'!$A$5:$A$73,0)),"")</f>
        <v>230.7</v>
      </c>
      <c r="K166" s="24">
        <f>IFERROR(INDEX('I2015'!I$5:I$73,MATCH($C166,'I2015'!$A$5:$A$73,0)),"")</f>
        <v>247.14</v>
      </c>
      <c r="L166" s="24">
        <f>IFERROR(INDEX('I2015'!J$5:J$73,MATCH($C166,'I2015'!$A$5:$A$73,0)),"")</f>
        <v>346.23</v>
      </c>
      <c r="M166" s="24">
        <f>IFERROR(INDEX('I2015'!K$5:K$73,MATCH($C166,'I2015'!$A$5:$A$73,0)),"")</f>
        <v>551.70000000000005</v>
      </c>
      <c r="N166" s="24">
        <f>IFERROR(INDEX('I2015'!L$5:L$73,MATCH($C166,'I2015'!$A$5:$A$73,0)),"")</f>
        <v>581.78</v>
      </c>
      <c r="O166" s="24">
        <f>IFERROR(INDEX('I2015'!M$5:M$73,MATCH($C166,'I2015'!$A$5:$A$73,0)),"")</f>
        <v>621.33000000000004</v>
      </c>
      <c r="P166" s="24">
        <f>IFERROR(INDEX('I2016'!B$5:B$90,MATCH($C166,'I2016'!$A$5:$A$90,0)),"")</f>
        <v>7632.75</v>
      </c>
      <c r="Q166" s="24">
        <f>IFERROR(INDEX('I2016'!C$5:C$90,MATCH($C166,'I2016'!$A$5:$A$90,0)),"")</f>
        <v>1046.55</v>
      </c>
      <c r="R166" s="24">
        <f>IFERROR(INDEX('I2016'!D$5:D$90,MATCH($C166,'I2016'!$A$5:$A$90,0)),"")</f>
        <v>1077.17</v>
      </c>
      <c r="S166" s="24">
        <f>IFERROR(INDEX('I2016'!E$5:E$90,MATCH($C166,'I2016'!$A$5:$A$90,0)),"")</f>
        <v>1007.0200000000001</v>
      </c>
      <c r="T166" s="24">
        <f>IFERROR(INDEX('I2016'!F$5:F$90,MATCH($C166,'I2016'!$A$5:$A$90,0)),"")</f>
        <v>846.59</v>
      </c>
      <c r="U166" s="24">
        <f>IFERROR(INDEX('I2016'!G$5:G$90,MATCH($C166,'I2016'!$A$5:$A$90,0)),"")</f>
        <v>766.73</v>
      </c>
      <c r="V166" s="24">
        <f>IFERROR(INDEX('I2016'!H$5:H$90,MATCH($C166,'I2016'!$A$5:$A$90,0)),"")</f>
        <v>705.69</v>
      </c>
      <c r="W166" s="24">
        <f>IFERROR(INDEX('I2016'!I$5:I$90,MATCH($C166,'I2016'!$A$5:$A$90,0)),"")</f>
        <v>828.25</v>
      </c>
      <c r="X166" s="24">
        <f>IFERROR(INDEX('I2016'!J$5:J$90,MATCH($C166,'I2016'!$A$5:$A$90,0)),"")</f>
        <v>788.65</v>
      </c>
      <c r="Y166" s="24">
        <f>IFERROR(INDEX('I2016'!K$5:K$90,MATCH($C166,'I2016'!$A$5:$A$90,0)),"")</f>
        <v>829.78</v>
      </c>
      <c r="Z166" s="24">
        <f>IFERROR(INDEX('I2016'!L$5:L$90,MATCH($C166,'I2016'!$A$5:$A$90,0)),"")</f>
        <v>808.04</v>
      </c>
      <c r="AA166" s="24">
        <f>IFERROR(INDEX('I2016'!M$5:M$90,MATCH($C166,'I2016'!$A$5:$A$90,0)),"")</f>
        <v>761.81</v>
      </c>
      <c r="AB166" s="24">
        <f>IFERROR(INDEX('I2017'!B$5:B$96,MATCH($C166,'I2017'!$A$5:$A$96,0)),"")</f>
        <v>7911.98</v>
      </c>
      <c r="AC166" s="24">
        <f>IFERROR(INDEX('I2017'!C$5:C$96,MATCH($C166,'I2017'!$A$5:$A$96,0)),"")</f>
        <v>1170.8899999999999</v>
      </c>
      <c r="AD166" s="24">
        <f>IFERROR(INDEX('I2017'!D$5:D$96,MATCH($C166,'I2017'!$A$5:$A$96,0)),"")</f>
        <v>2490.9499999999998</v>
      </c>
      <c r="AE166" s="24">
        <f>IFERROR(INDEX('I2017'!E$5:E$96,MATCH($C166,'I2017'!$A$5:$A$96,0)),"")</f>
        <v>2409.29</v>
      </c>
      <c r="AF166" s="24">
        <f>IFERROR(INDEX('I2017'!F$5:F$96,MATCH($C166,'I2017'!$A$5:$A$96,0)),"")</f>
        <v>2809.8999999999996</v>
      </c>
      <c r="AG166" s="24">
        <f>IFERROR(INDEX('I2017'!G$5:G$96,MATCH($C166,'I2017'!$A$5:$A$96,0)),"")</f>
        <v>2210.16</v>
      </c>
      <c r="AH166" s="24">
        <f>IFERROR(INDEX('I2017'!H$5:H$96,MATCH($C166,'I2017'!$A$5:$A$96,0)),"")</f>
        <v>1969.08</v>
      </c>
      <c r="AI166" s="24">
        <f>IFERROR(INDEX('I2017'!I$5:I$96,MATCH($C166,'I2017'!$A$5:$A$96,0)),"")</f>
        <v>1921.03</v>
      </c>
      <c r="AJ166" s="24">
        <f>IFERROR(INDEX('I2017'!J$5:J$96,MATCH($C166,'I2017'!$A$5:$A$96,0)),"")</f>
        <v>1872.39</v>
      </c>
      <c r="AK166" s="24">
        <f>IFERROR(INDEX('I2017'!K$5:K$96,MATCH($C166,'I2017'!$A$5:$A$96,0)),"")</f>
        <v>2488.0300000000002</v>
      </c>
      <c r="AL166" s="24">
        <f>IFERROR(INDEX('I2017'!L$5:L$96,MATCH($C166,'I2017'!$A$5:$A$96,0)),"")</f>
        <v>1897.15</v>
      </c>
      <c r="AM166" s="24">
        <f>IFERROR(INDEX('I2017'!M$5:M$96,MATCH($C166,'I2017'!$A$5:$A$96,0)),"")</f>
        <v>1843.76</v>
      </c>
      <c r="AN166" s="24">
        <f>IFERROR(INDEX('I2018'!B$5:B$107,MATCH($C166,'I2018'!$A$5:$A$107,0)),"")</f>
        <v>1789.72</v>
      </c>
      <c r="AO166" s="24">
        <f>IFERROR(INDEX('I2018'!C$5:C$107,MATCH($C166,'I2018'!$A$5:$A$107,0)),"")</f>
        <v>1735.02</v>
      </c>
      <c r="AP166" s="24">
        <f>IFERROR(INDEX('I2018'!D$5:D$107,MATCH($C166,'I2018'!$A$5:$A$107,0)),"")</f>
        <v>1679.64</v>
      </c>
      <c r="AQ166" s="24">
        <f>IFERROR(INDEX('I2018'!E$5:E$107,MATCH($C166,'I2018'!$A$5:$A$107,0)),"")</f>
        <v>1623.59</v>
      </c>
      <c r="AR166" s="24">
        <f>IFERROR(INDEX('I2018'!F$5:F$107,MATCH($C166,'I2018'!$A$5:$A$107,0)),"")</f>
        <v>1566.85</v>
      </c>
      <c r="AS166" s="24">
        <f>IFERROR(INDEX('I2018'!G$5:G$107,MATCH($C166,'I2018'!$A$5:$A$107,0)),"")</f>
        <v>1509.41</v>
      </c>
      <c r="AT166" s="24">
        <f>IFERROR(INDEX('I2018'!H$5:H$107,MATCH($C166,'I2018'!$A$5:$A$107,0)),"")</f>
        <v>1451.26</v>
      </c>
      <c r="AU166" s="24">
        <f>IFERROR(INDEX('I2018'!I$5:I$107,MATCH($C166,'I2018'!$A$5:$A$107,0)),"")</f>
        <v>1392.41</v>
      </c>
      <c r="AV166" s="24">
        <f>IFERROR(INDEX('I2018'!J$5:J$107,MATCH($C166,'I2018'!$A$5:$A$107,0)),"")</f>
        <v>1332.83</v>
      </c>
      <c r="AW166" s="24">
        <f>IFERROR(INDEX('I2018'!K$5:K$107,MATCH($C166,'I2018'!$A$5:$A$107,0)),"")</f>
        <v>1272.52</v>
      </c>
      <c r="AX166" s="24">
        <f>IFERROR(INDEX('I2018'!L$5:L$107,MATCH($C166,'I2018'!$A$5:$A$107,0)),"")</f>
        <v>1211.48</v>
      </c>
      <c r="AY166" s="24">
        <f>IFERROR(INDEX('I2018'!M$5:M$107,MATCH($C166,'I2018'!$A$5:$A$107,0)),"")</f>
        <v>1149.68</v>
      </c>
      <c r="AZ166" s="24">
        <f>IFERROR(INDEX('I2019'!B$5:B$112,MATCH($C166,'I2019'!$A$5:$A$112,0)),"")</f>
        <v>1087.1300000000001</v>
      </c>
      <c r="BA166" s="24">
        <f>IFERROR(INDEX('I2019'!C$5:C$112,MATCH($C166,'I2019'!$A$5:$A$112,0)),"")</f>
        <v>1023.81</v>
      </c>
      <c r="BB166" s="24">
        <f>IFERROR(INDEX('I2019'!D$5:D$112,MATCH($C166,'I2019'!$A$5:$A$112,0)),"")</f>
        <v>959.7</v>
      </c>
      <c r="BC166" s="24">
        <f>IFERROR(INDEX('I2019'!E$5:E$112,MATCH($C166,'I2019'!$A$5:$A$112,0)),"")</f>
        <v>894.81</v>
      </c>
      <c r="BD166" s="24">
        <f>IFERROR(INDEX('I2019'!F$5:F$112,MATCH($C166,'I2019'!$A$5:$A$112,0)),"")</f>
        <v>829.13</v>
      </c>
      <c r="BE166" s="24">
        <f>IFERROR(INDEX('I2019'!G$5:G$112,MATCH($C166,'I2019'!$A$5:$A$112,0)),"")</f>
        <v>762.66</v>
      </c>
      <c r="BF166" s="24">
        <f>IFERROR(INDEX('I2019'!H$5:H$112,MATCH($C166,'I2019'!$A$5:$A$112,0)),"")</f>
        <v>695.36</v>
      </c>
      <c r="BG166" s="24">
        <f>IFERROR(INDEX('I2019'!I$5:I$112,MATCH($C166,'I2019'!$A$5:$A$112,0)),"")</f>
        <v>627.22</v>
      </c>
      <c r="BH166" s="24">
        <f>IFERROR(INDEX('I2019'!J$5:J$112,MATCH($C166,'I2019'!$A$5:$A$112,0)),"")</f>
        <v>558.27</v>
      </c>
      <c r="BI166" s="24">
        <f>IFERROR(INDEX('I2019'!K$5:K$112,MATCH($C166,'I2019'!$A$5:$A$112,0)),"")</f>
        <v>488.46</v>
      </c>
      <c r="BJ166" s="24">
        <f>IFERROR(INDEX('I2019'!L$5:L$112,MATCH($C166,'I2019'!$A$5:$A$112,0)),"")</f>
        <v>427.8</v>
      </c>
      <c r="BK166" s="24">
        <f>IFERROR(INDEX('I2019'!M$5:M$112,MATCH($C166,'I2019'!$A$5:$A$112,0)),"")</f>
        <v>386.38</v>
      </c>
      <c r="BL166" s="24">
        <f>IFERROR(INDEX('I2020'!B$5:B$113,MATCH($C166,'I2020'!$A$5:$A$113,0)),"")</f>
        <v>344.67</v>
      </c>
      <c r="BM166" s="24">
        <f>IFERROR(INDEX('I2020'!C$5:C$113,MATCH($C166,'I2020'!$A$5:$A$113,0)),"")</f>
        <v>302.66000000000003</v>
      </c>
      <c r="BN166" s="24">
        <f>IFERROR(INDEX('I2020'!D$5:D$113,MATCH($C166,'I2020'!$A$5:$A$113,0)),"")</f>
        <v>260.33999999999997</v>
      </c>
      <c r="BO166" s="24">
        <f>IFERROR(INDEX('I2020'!E$5:E$113,MATCH($C166,'I2020'!$A$5:$A$113,0)),"")</f>
        <v>217.72</v>
      </c>
      <c r="BP166" s="24">
        <f>IFERROR(INDEX('I2020'!F$5:F$113,MATCH($C166,'I2020'!$A$5:$A$113,0)),"")</f>
        <v>174.8</v>
      </c>
      <c r="BQ166" s="399">
        <f>IFERROR(INDEX('I2020'!G$5:G$113,MATCH($C166,'I2020'!$A$5:$A$113,0)),"")</f>
        <v>131.57</v>
      </c>
      <c r="BR166" s="155">
        <f t="shared" ref="BQ166:CI166" si="110">AVERAGE(BF166:BQ166)</f>
        <v>384.60416666666669</v>
      </c>
      <c r="BS166" s="155">
        <f t="shared" si="110"/>
        <v>358.70784722222226</v>
      </c>
      <c r="BT166" s="155">
        <f t="shared" si="110"/>
        <v>336.33183449074073</v>
      </c>
      <c r="BU166" s="155">
        <f t="shared" si="110"/>
        <v>317.83698736496916</v>
      </c>
      <c r="BV166" s="155">
        <f t="shared" si="110"/>
        <v>303.61840297871657</v>
      </c>
      <c r="BW166" s="155">
        <f t="shared" si="110"/>
        <v>293.26993656027622</v>
      </c>
      <c r="BX166" s="155">
        <f t="shared" si="110"/>
        <v>285.51076460696595</v>
      </c>
      <c r="BY166" s="155">
        <f t="shared" si="110"/>
        <v>280.58082832421309</v>
      </c>
      <c r="BZ166" s="155">
        <f t="shared" si="110"/>
        <v>278.74089735123084</v>
      </c>
      <c r="CA166" s="155">
        <f t="shared" si="110"/>
        <v>280.2743054638334</v>
      </c>
      <c r="CB166" s="155">
        <f t="shared" si="110"/>
        <v>285.48716425248625</v>
      </c>
      <c r="CC166" s="155">
        <f t="shared" si="110"/>
        <v>294.71109460686012</v>
      </c>
      <c r="CD166" s="155">
        <f t="shared" si="110"/>
        <v>308.30618582409846</v>
      </c>
      <c r="CE166" s="155">
        <f t="shared" si="110"/>
        <v>301.94802075388446</v>
      </c>
      <c r="CF166" s="155">
        <f t="shared" si="110"/>
        <v>297.21803521485634</v>
      </c>
      <c r="CG166" s="155">
        <f t="shared" si="110"/>
        <v>293.95855194186589</v>
      </c>
      <c r="CH166" s="155">
        <f t="shared" si="110"/>
        <v>291.96868232327398</v>
      </c>
      <c r="CI166" s="156">
        <f t="shared" si="110"/>
        <v>290.99787226865379</v>
      </c>
      <c r="CJ166" s="289"/>
    </row>
    <row r="167" spans="1:88" x14ac:dyDescent="0.3">
      <c r="A167" s="33"/>
      <c r="B167" s="68"/>
      <c r="C167" s="21" t="s">
        <v>112</v>
      </c>
      <c r="D167" s="102">
        <f>IFERROR(INDEX('I2015'!B$5:B$73,MATCH($C167,'I2015'!$A$5:$A$73,0)),"")</f>
        <v>0</v>
      </c>
      <c r="E167" s="102">
        <f>IFERROR(INDEX('I2015'!C$5:C$73,MATCH($C167,'I2015'!$A$5:$A$73,0)),"")</f>
        <v>0</v>
      </c>
      <c r="F167" s="102">
        <f>IFERROR(INDEX('I2015'!D$5:D$73,MATCH($C167,'I2015'!$A$5:$A$73,0)),"")</f>
        <v>0</v>
      </c>
      <c r="G167" s="102">
        <f>IFERROR(INDEX('I2015'!E$5:E$73,MATCH($C167,'I2015'!$A$5:$A$73,0)),"")</f>
        <v>0</v>
      </c>
      <c r="H167" s="102">
        <f>IFERROR(INDEX('I2015'!F$5:F$73,MATCH($C167,'I2015'!$A$5:$A$73,0)),"")</f>
        <v>0</v>
      </c>
      <c r="I167" s="102">
        <f>IFERROR(INDEX('I2015'!G$5:G$73,MATCH($C167,'I2015'!$A$5:$A$73,0)),"")</f>
        <v>0</v>
      </c>
      <c r="J167" s="102">
        <f>IFERROR(INDEX('I2015'!H$5:H$73,MATCH($C167,'I2015'!$A$5:$A$73,0)),"")</f>
        <v>0</v>
      </c>
      <c r="K167" s="102">
        <f>IFERROR(INDEX('I2015'!I$5:I$73,MATCH($C167,'I2015'!$A$5:$A$73,0)),"")</f>
        <v>0</v>
      </c>
      <c r="L167" s="102">
        <f>IFERROR(INDEX('I2015'!J$5:J$73,MATCH($C167,'I2015'!$A$5:$A$73,0)),"")</f>
        <v>0</v>
      </c>
      <c r="M167" s="102">
        <f>IFERROR(INDEX('I2015'!K$5:K$73,MATCH($C167,'I2015'!$A$5:$A$73,0)),"")</f>
        <v>0</v>
      </c>
      <c r="N167" s="102">
        <f>IFERROR(INDEX('I2015'!L$5:L$73,MATCH($C167,'I2015'!$A$5:$A$73,0)),"")</f>
        <v>0</v>
      </c>
      <c r="O167" s="102">
        <f>IFERROR(INDEX('I2015'!M$5:M$73,MATCH($C167,'I2015'!$A$5:$A$73,0)),"")</f>
        <v>0</v>
      </c>
      <c r="P167" s="102">
        <f>IFERROR(INDEX('I2016'!B$5:B$90,MATCH($C167,'I2016'!$A$5:$A$90,0)),"")</f>
        <v>2700</v>
      </c>
      <c r="Q167" s="102">
        <f>IFERROR(INDEX('I2016'!C$5:C$90,MATCH($C167,'I2016'!$A$5:$A$90,0)),"")</f>
        <v>0</v>
      </c>
      <c r="R167" s="102">
        <f>IFERROR(INDEX('I2016'!D$5:D$90,MATCH($C167,'I2016'!$A$5:$A$90,0)),"")</f>
        <v>0</v>
      </c>
      <c r="S167" s="102">
        <f>IFERROR(INDEX('I2016'!E$5:E$90,MATCH($C167,'I2016'!$A$5:$A$90,0)),"")</f>
        <v>0</v>
      </c>
      <c r="T167" s="102">
        <f>IFERROR(INDEX('I2016'!F$5:F$90,MATCH($C167,'I2016'!$A$5:$A$90,0)),"")</f>
        <v>0</v>
      </c>
      <c r="U167" s="102">
        <f>IFERROR(INDEX('I2016'!G$5:G$90,MATCH($C167,'I2016'!$A$5:$A$90,0)),"")</f>
        <v>0</v>
      </c>
      <c r="V167" s="102">
        <f>IFERROR(INDEX('I2016'!H$5:H$90,MATCH($C167,'I2016'!$A$5:$A$90,0)),"")</f>
        <v>0</v>
      </c>
      <c r="W167" s="102">
        <f>IFERROR(INDEX('I2016'!I$5:I$90,MATCH($C167,'I2016'!$A$5:$A$90,0)),"")</f>
        <v>0</v>
      </c>
      <c r="X167" s="102">
        <f>IFERROR(INDEX('I2016'!J$5:J$90,MATCH($C167,'I2016'!$A$5:$A$90,0)),"")</f>
        <v>0</v>
      </c>
      <c r="Y167" s="102">
        <f>IFERROR(INDEX('I2016'!K$5:K$90,MATCH($C167,'I2016'!$A$5:$A$90,0)),"")</f>
        <v>0</v>
      </c>
      <c r="Z167" s="102">
        <f>IFERROR(INDEX('I2016'!L$5:L$90,MATCH($C167,'I2016'!$A$5:$A$90,0)),"")</f>
        <v>0</v>
      </c>
      <c r="AA167" s="102">
        <f>IFERROR(INDEX('I2016'!M$5:M$90,MATCH($C167,'I2016'!$A$5:$A$90,0)),"")</f>
        <v>0</v>
      </c>
      <c r="AB167" s="102">
        <f>IFERROR(INDEX('I2017'!B$5:B$96,MATCH($C167,'I2017'!$A$5:$A$96,0)),"")</f>
        <v>0</v>
      </c>
      <c r="AC167" s="102">
        <f>IFERROR(INDEX('I2017'!C$5:C$96,MATCH($C167,'I2017'!$A$5:$A$96,0)),"")</f>
        <v>219.31</v>
      </c>
      <c r="AD167" s="102">
        <f>IFERROR(INDEX('I2017'!D$5:D$96,MATCH($C167,'I2017'!$A$5:$A$96,0)),"")</f>
        <v>219.31</v>
      </c>
      <c r="AE167" s="102">
        <f>IFERROR(INDEX('I2017'!E$5:E$96,MATCH($C167,'I2017'!$A$5:$A$96,0)),"")</f>
        <v>219.31</v>
      </c>
      <c r="AF167" s="102">
        <f>IFERROR(INDEX('I2017'!F$5:F$96,MATCH($C167,'I2017'!$A$5:$A$96,0)),"")</f>
        <v>219.31</v>
      </c>
      <c r="AG167" s="102">
        <f>IFERROR(INDEX('I2017'!G$5:G$96,MATCH($C167,'I2017'!$A$5:$A$96,0)),"")</f>
        <v>219.31</v>
      </c>
      <c r="AH167" s="102">
        <f>IFERROR(INDEX('I2017'!H$5:H$96,MATCH($C167,'I2017'!$A$5:$A$96,0)),"")</f>
        <v>219.31</v>
      </c>
      <c r="AI167" s="102">
        <f>IFERROR(INDEX('I2017'!I$5:I$96,MATCH($C167,'I2017'!$A$5:$A$96,0)),"")</f>
        <v>219.31</v>
      </c>
      <c r="AJ167" s="102">
        <f>IFERROR(INDEX('I2017'!J$5:J$96,MATCH($C167,'I2017'!$A$5:$A$96,0)),"")</f>
        <v>219.31</v>
      </c>
      <c r="AK167" s="102">
        <f>IFERROR(INDEX('I2017'!K$5:K$96,MATCH($C167,'I2017'!$A$5:$A$96,0)),"")</f>
        <v>219.31</v>
      </c>
      <c r="AL167" s="102">
        <f>IFERROR(INDEX('I2017'!L$5:L$96,MATCH($C167,'I2017'!$A$5:$A$96,0)),"")</f>
        <v>219.31</v>
      </c>
      <c r="AM167" s="102">
        <f>IFERROR(INDEX('I2017'!M$5:M$96,MATCH($C167,'I2017'!$A$5:$A$96,0)),"")</f>
        <v>219.31</v>
      </c>
      <c r="AN167" s="102">
        <f>IFERROR(INDEX('I2018'!B$5:B$107,MATCH($C167,'I2018'!$A$5:$A$107,0)),"")</f>
        <v>219.31</v>
      </c>
      <c r="AO167" s="102">
        <f>IFERROR(INDEX('I2018'!C$5:C$107,MATCH($C167,'I2018'!$A$5:$A$107,0)),"")</f>
        <v>219.31</v>
      </c>
      <c r="AP167" s="102">
        <f>IFERROR(INDEX('I2018'!D$5:D$107,MATCH($C167,'I2018'!$A$5:$A$107,0)),"")</f>
        <v>219.31</v>
      </c>
      <c r="AQ167" s="102">
        <f>IFERROR(INDEX('I2018'!E$5:E$107,MATCH($C167,'I2018'!$A$5:$A$107,0)),"")</f>
        <v>219.31</v>
      </c>
      <c r="AR167" s="102">
        <f>IFERROR(INDEX('I2018'!F$5:F$107,MATCH($C167,'I2018'!$A$5:$A$107,0)),"")</f>
        <v>219.31</v>
      </c>
      <c r="AS167" s="102">
        <f>IFERROR(INDEX('I2018'!G$5:G$107,MATCH($C167,'I2018'!$A$5:$A$107,0)),"")</f>
        <v>219.31</v>
      </c>
      <c r="AT167" s="102">
        <f>IFERROR(INDEX('I2018'!H$5:H$107,MATCH($C167,'I2018'!$A$5:$A$107,0)),"")</f>
        <v>219.31</v>
      </c>
      <c r="AU167" s="102">
        <f>IFERROR(INDEX('I2018'!I$5:I$107,MATCH($C167,'I2018'!$A$5:$A$107,0)),"")</f>
        <v>219.31</v>
      </c>
      <c r="AV167" s="102">
        <f>IFERROR(INDEX('I2018'!J$5:J$107,MATCH($C167,'I2018'!$A$5:$A$107,0)),"")</f>
        <v>219.31</v>
      </c>
      <c r="AW167" s="102">
        <f>IFERROR(INDEX('I2018'!K$5:K$107,MATCH($C167,'I2018'!$A$5:$A$107,0)),"")</f>
        <v>219.31</v>
      </c>
      <c r="AX167" s="102">
        <f>IFERROR(INDEX('I2018'!L$5:L$107,MATCH($C167,'I2018'!$A$5:$A$107,0)),"")</f>
        <v>219.31</v>
      </c>
      <c r="AY167" s="102">
        <f>IFERROR(INDEX('I2018'!M$5:M$107,MATCH($C167,'I2018'!$A$5:$A$107,0)),"")</f>
        <v>219.31</v>
      </c>
      <c r="AZ167" s="102">
        <f>IFERROR(INDEX('I2019'!B$5:B$112,MATCH($C167,'I2019'!$A$5:$A$112,0)),"")</f>
        <v>219.31</v>
      </c>
      <c r="BA167" s="102">
        <f>IFERROR(INDEX('I2019'!C$5:C$112,MATCH($C167,'I2019'!$A$5:$A$112,0)),"")</f>
        <v>219.31</v>
      </c>
      <c r="BB167" s="102">
        <f>IFERROR(INDEX('I2019'!D$5:D$112,MATCH($C167,'I2019'!$A$5:$A$112,0)),"")</f>
        <v>219.31</v>
      </c>
      <c r="BC167" s="102">
        <f>IFERROR(INDEX('I2019'!E$5:E$112,MATCH($C167,'I2019'!$A$5:$A$112,0)),"")</f>
        <v>219.31</v>
      </c>
      <c r="BD167" s="102">
        <f>IFERROR(INDEX('I2019'!F$5:F$112,MATCH($C167,'I2019'!$A$5:$A$112,0)),"")</f>
        <v>219.31</v>
      </c>
      <c r="BE167" s="102">
        <f>IFERROR(INDEX('I2019'!G$5:G$112,MATCH($C167,'I2019'!$A$5:$A$112,0)),"")</f>
        <v>219.31</v>
      </c>
      <c r="BF167" s="102">
        <f>IFERROR(INDEX('I2019'!H$5:H$112,MATCH($C167,'I2019'!$A$5:$A$112,0)),"")</f>
        <v>219.31</v>
      </c>
      <c r="BG167" s="102">
        <f>IFERROR(INDEX('I2019'!I$5:I$112,MATCH($C167,'I2019'!$A$5:$A$112,0)),"")</f>
        <v>219.31</v>
      </c>
      <c r="BH167" s="102">
        <f>IFERROR(INDEX('I2019'!J$5:J$112,MATCH($C167,'I2019'!$A$5:$A$112,0)),"")</f>
        <v>219.31</v>
      </c>
      <c r="BI167" s="102">
        <f>IFERROR(INDEX('I2019'!K$5:K$112,MATCH($C167,'I2019'!$A$5:$A$112,0)),"")</f>
        <v>219.31</v>
      </c>
      <c r="BJ167" s="102">
        <f>IFERROR(INDEX('I2019'!L$5:L$112,MATCH($C167,'I2019'!$A$5:$A$112,0)),"")</f>
        <v>219.31</v>
      </c>
      <c r="BK167" s="102">
        <f>IFERROR(INDEX('I2019'!M$5:M$112,MATCH($C167,'I2019'!$A$5:$A$112,0)),"")</f>
        <v>219.31</v>
      </c>
      <c r="BL167" s="102">
        <f>IFERROR(INDEX('I2020'!B$5:B$113,MATCH($C167,'I2020'!$A$5:$A$113,0)),"")</f>
        <v>219.31</v>
      </c>
      <c r="BM167" s="102">
        <f>IFERROR(INDEX('I2020'!C$5:C$113,MATCH($C167,'I2020'!$A$5:$A$113,0)),"")</f>
        <v>219.31</v>
      </c>
      <c r="BN167" s="102">
        <f>IFERROR(INDEX('I2020'!D$5:D$113,MATCH($C167,'I2020'!$A$5:$A$113,0)),"")</f>
        <v>219.31</v>
      </c>
      <c r="BO167" s="102">
        <f>IFERROR(INDEX('I2020'!E$5:E$113,MATCH($C167,'I2020'!$A$5:$A$113,0)),"")</f>
        <v>219.31</v>
      </c>
      <c r="BP167" s="102">
        <f>IFERROR(INDEX('I2020'!F$5:F$113,MATCH($C167,'I2020'!$A$5:$A$113,0)),"")</f>
        <v>219.31</v>
      </c>
      <c r="BQ167" s="392">
        <f>IFERROR(INDEX('I2020'!G$5:G$113,MATCH($C167,'I2020'!$A$5:$A$113,0)),"")</f>
        <v>219.31</v>
      </c>
      <c r="BR167" s="64">
        <f t="shared" ref="BQ167:CI167" si="111">AVERAGE(BF167:BQ167)</f>
        <v>219.30999999999997</v>
      </c>
      <c r="BS167" s="64">
        <f t="shared" si="111"/>
        <v>219.30999999999997</v>
      </c>
      <c r="BT167" s="64">
        <f t="shared" si="111"/>
        <v>219.30999999999997</v>
      </c>
      <c r="BU167" s="64">
        <f t="shared" si="111"/>
        <v>219.30999999999997</v>
      </c>
      <c r="BV167" s="64">
        <f t="shared" si="111"/>
        <v>219.30999999999997</v>
      </c>
      <c r="BW167" s="64">
        <f t="shared" si="111"/>
        <v>219.30999999999997</v>
      </c>
      <c r="BX167" s="64">
        <f t="shared" si="111"/>
        <v>219.30999999999997</v>
      </c>
      <c r="BY167" s="64">
        <f t="shared" si="111"/>
        <v>219.30999999999997</v>
      </c>
      <c r="BZ167" s="64">
        <f t="shared" si="111"/>
        <v>219.30999999999997</v>
      </c>
      <c r="CA167" s="64">
        <f t="shared" si="111"/>
        <v>219.30999999999997</v>
      </c>
      <c r="CB167" s="64">
        <f t="shared" si="111"/>
        <v>219.30999999999997</v>
      </c>
      <c r="CC167" s="64">
        <f t="shared" si="111"/>
        <v>219.30999999999997</v>
      </c>
      <c r="CD167" s="64">
        <f t="shared" si="111"/>
        <v>219.30999999999997</v>
      </c>
      <c r="CE167" s="64">
        <f t="shared" si="111"/>
        <v>219.30999999999997</v>
      </c>
      <c r="CF167" s="64">
        <f t="shared" si="111"/>
        <v>219.30999999999997</v>
      </c>
      <c r="CG167" s="64">
        <f t="shared" si="111"/>
        <v>219.30999999999997</v>
      </c>
      <c r="CH167" s="64">
        <f t="shared" si="111"/>
        <v>219.30999999999997</v>
      </c>
      <c r="CI167" s="124">
        <f t="shared" si="111"/>
        <v>219.30999999999997</v>
      </c>
      <c r="CJ167" s="134"/>
    </row>
    <row r="168" spans="1:88" x14ac:dyDescent="0.3">
      <c r="A168" s="33"/>
      <c r="B168" s="140"/>
      <c r="C168" s="21" t="s">
        <v>113</v>
      </c>
      <c r="D168" s="24">
        <f>IFERROR(INDEX('I2015'!B$5:B$73,MATCH($C168,'I2015'!$A$5:$A$73,0)),"")</f>
        <v>87.59</v>
      </c>
      <c r="E168" s="24">
        <f>IFERROR(INDEX('I2015'!C$5:C$73,MATCH($C168,'I2015'!$A$5:$A$73,0)),"")</f>
        <v>88.32</v>
      </c>
      <c r="F168" s="24">
        <f>IFERROR(INDEX('I2015'!D$5:D$73,MATCH($C168,'I2015'!$A$5:$A$73,0)),"")</f>
        <v>97.94</v>
      </c>
      <c r="G168" s="24">
        <f>IFERROR(INDEX('I2015'!E$5:E$73,MATCH($C168,'I2015'!$A$5:$A$73,0)),"")</f>
        <v>89.8</v>
      </c>
      <c r="H168" s="24">
        <f>IFERROR(INDEX('I2015'!F$5:F$73,MATCH($C168,'I2015'!$A$5:$A$73,0)),"")</f>
        <v>90.54</v>
      </c>
      <c r="I168" s="24">
        <f>IFERROR(INDEX('I2015'!G$5:G$73,MATCH($C168,'I2015'!$A$5:$A$73,0)),"")</f>
        <v>195.64999999999998</v>
      </c>
      <c r="J168" s="24">
        <f>IFERROR(INDEX('I2015'!H$5:H$73,MATCH($C168,'I2015'!$A$5:$A$73,0)),"")</f>
        <v>230.7</v>
      </c>
      <c r="K168" s="24">
        <f>IFERROR(INDEX('I2015'!I$5:I$73,MATCH($C168,'I2015'!$A$5:$A$73,0)),"")</f>
        <v>247.14</v>
      </c>
      <c r="L168" s="24">
        <f>IFERROR(INDEX('I2015'!J$5:J$73,MATCH($C168,'I2015'!$A$5:$A$73,0)),"")</f>
        <v>346.23</v>
      </c>
      <c r="M168" s="24">
        <f>IFERROR(INDEX('I2015'!K$5:K$73,MATCH($C168,'I2015'!$A$5:$A$73,0)),"")</f>
        <v>551.70000000000005</v>
      </c>
      <c r="N168" s="24">
        <f>IFERROR(INDEX('I2015'!L$5:L$73,MATCH($C168,'I2015'!$A$5:$A$73,0)),"")</f>
        <v>581.78</v>
      </c>
      <c r="O168" s="24">
        <f>IFERROR(INDEX('I2015'!M$5:M$73,MATCH($C168,'I2015'!$A$5:$A$73,0)),"")</f>
        <v>621.33000000000004</v>
      </c>
      <c r="P168" s="24">
        <f>IFERROR(INDEX('I2016'!B$5:B$90,MATCH($C168,'I2016'!$A$5:$A$90,0)),"")</f>
        <v>10332.75</v>
      </c>
      <c r="Q168" s="24">
        <f>IFERROR(INDEX('I2016'!C$5:C$90,MATCH($C168,'I2016'!$A$5:$A$90,0)),"")</f>
        <v>1046.55</v>
      </c>
      <c r="R168" s="24">
        <f>IFERROR(INDEX('I2016'!D$5:D$90,MATCH($C168,'I2016'!$A$5:$A$90,0)),"")</f>
        <v>1077.17</v>
      </c>
      <c r="S168" s="24">
        <f>IFERROR(INDEX('I2016'!E$5:E$90,MATCH($C168,'I2016'!$A$5:$A$90,0)),"")</f>
        <v>1007.0200000000001</v>
      </c>
      <c r="T168" s="24">
        <f>IFERROR(INDEX('I2016'!F$5:F$90,MATCH($C168,'I2016'!$A$5:$A$90,0)),"")</f>
        <v>846.59</v>
      </c>
      <c r="U168" s="24">
        <f>IFERROR(INDEX('I2016'!G$5:G$90,MATCH($C168,'I2016'!$A$5:$A$90,0)),"")</f>
        <v>766.73</v>
      </c>
      <c r="V168" s="24">
        <f>IFERROR(INDEX('I2016'!H$5:H$90,MATCH($C168,'I2016'!$A$5:$A$90,0)),"")</f>
        <v>705.69</v>
      </c>
      <c r="W168" s="24">
        <f>IFERROR(INDEX('I2016'!I$5:I$90,MATCH($C168,'I2016'!$A$5:$A$90,0)),"")</f>
        <v>828.25</v>
      </c>
      <c r="X168" s="24">
        <f>IFERROR(INDEX('I2016'!J$5:J$90,MATCH($C168,'I2016'!$A$5:$A$90,0)),"")</f>
        <v>788.65</v>
      </c>
      <c r="Y168" s="24">
        <f>IFERROR(INDEX('I2016'!K$5:K$90,MATCH($C168,'I2016'!$A$5:$A$90,0)),"")</f>
        <v>829.78</v>
      </c>
      <c r="Z168" s="24">
        <f>IFERROR(INDEX('I2016'!L$5:L$90,MATCH($C168,'I2016'!$A$5:$A$90,0)),"")</f>
        <v>808.04</v>
      </c>
      <c r="AA168" s="24">
        <f>IFERROR(INDEX('I2016'!M$5:M$90,MATCH($C168,'I2016'!$A$5:$A$90,0)),"")</f>
        <v>761.81</v>
      </c>
      <c r="AB168" s="24">
        <f>IFERROR(INDEX('I2017'!B$5:B$96,MATCH($C168,'I2017'!$A$5:$A$96,0)),"")</f>
        <v>7911.98</v>
      </c>
      <c r="AC168" s="24">
        <f>IFERROR(INDEX('I2017'!C$5:C$96,MATCH($C168,'I2017'!$A$5:$A$96,0)),"")</f>
        <v>1390.1999999999998</v>
      </c>
      <c r="AD168" s="24">
        <f>IFERROR(INDEX('I2017'!D$5:D$96,MATCH($C168,'I2017'!$A$5:$A$96,0)),"")</f>
        <v>2710.2599999999998</v>
      </c>
      <c r="AE168" s="24">
        <f>IFERROR(INDEX('I2017'!E$5:E$96,MATCH($C168,'I2017'!$A$5:$A$96,0)),"")</f>
        <v>2628.6</v>
      </c>
      <c r="AF168" s="24">
        <f>IFERROR(INDEX('I2017'!F$5:F$96,MATCH($C168,'I2017'!$A$5:$A$96,0)),"")</f>
        <v>3029.2099999999996</v>
      </c>
      <c r="AG168" s="24">
        <f>IFERROR(INDEX('I2017'!G$5:G$96,MATCH($C168,'I2017'!$A$5:$A$96,0)),"")</f>
        <v>2429.4699999999998</v>
      </c>
      <c r="AH168" s="24">
        <f>IFERROR(INDEX('I2017'!H$5:H$96,MATCH($C168,'I2017'!$A$5:$A$96,0)),"")</f>
        <v>2188.39</v>
      </c>
      <c r="AI168" s="24">
        <f>IFERROR(INDEX('I2017'!I$5:I$96,MATCH($C168,'I2017'!$A$5:$A$96,0)),"")</f>
        <v>2140.34</v>
      </c>
      <c r="AJ168" s="24">
        <f>IFERROR(INDEX('I2017'!J$5:J$96,MATCH($C168,'I2017'!$A$5:$A$96,0)),"")</f>
        <v>2091.7000000000003</v>
      </c>
      <c r="AK168" s="24">
        <f>IFERROR(INDEX('I2017'!K$5:K$96,MATCH($C168,'I2017'!$A$5:$A$96,0)),"")</f>
        <v>2707.34</v>
      </c>
      <c r="AL168" s="24">
        <f>IFERROR(INDEX('I2017'!L$5:L$96,MATCH($C168,'I2017'!$A$5:$A$96,0)),"")</f>
        <v>2116.46</v>
      </c>
      <c r="AM168" s="24">
        <f>IFERROR(INDEX('I2017'!M$5:M$96,MATCH($C168,'I2017'!$A$5:$A$96,0)),"")</f>
        <v>2063.0700000000002</v>
      </c>
      <c r="AN168" s="24">
        <f>IFERROR(INDEX('I2018'!B$5:B$107,MATCH($C168,'I2018'!$A$5:$A$107,0)),"")</f>
        <v>2009.03</v>
      </c>
      <c r="AO168" s="24">
        <f>IFERROR(INDEX('I2018'!C$5:C$107,MATCH($C168,'I2018'!$A$5:$A$107,0)),"")</f>
        <v>1954.33</v>
      </c>
      <c r="AP168" s="24">
        <f>IFERROR(INDEX('I2018'!D$5:D$107,MATCH($C168,'I2018'!$A$5:$A$107,0)),"")</f>
        <v>1898.95</v>
      </c>
      <c r="AQ168" s="24">
        <f>IFERROR(INDEX('I2018'!E$5:E$107,MATCH($C168,'I2018'!$A$5:$A$107,0)),"")</f>
        <v>1842.8999999999999</v>
      </c>
      <c r="AR168" s="24">
        <f>IFERROR(INDEX('I2018'!F$5:F$107,MATCH($C168,'I2018'!$A$5:$A$107,0)),"")</f>
        <v>1786.1599999999999</v>
      </c>
      <c r="AS168" s="24">
        <f>IFERROR(INDEX('I2018'!G$5:G$107,MATCH($C168,'I2018'!$A$5:$A$107,0)),"")</f>
        <v>1728.72</v>
      </c>
      <c r="AT168" s="24">
        <f>IFERROR(INDEX('I2018'!H$5:H$107,MATCH($C168,'I2018'!$A$5:$A$107,0)),"")</f>
        <v>1670.57</v>
      </c>
      <c r="AU168" s="24">
        <f>IFERROR(INDEX('I2018'!I$5:I$107,MATCH($C168,'I2018'!$A$5:$A$107,0)),"")</f>
        <v>1611.72</v>
      </c>
      <c r="AV168" s="24">
        <f>IFERROR(INDEX('I2018'!J$5:J$107,MATCH($C168,'I2018'!$A$5:$A$107,0)),"")</f>
        <v>1552.1399999999999</v>
      </c>
      <c r="AW168" s="24">
        <f>IFERROR(INDEX('I2018'!K$5:K$107,MATCH($C168,'I2018'!$A$5:$A$107,0)),"")</f>
        <v>1491.83</v>
      </c>
      <c r="AX168" s="24">
        <f>IFERROR(INDEX('I2018'!L$5:L$107,MATCH($C168,'I2018'!$A$5:$A$107,0)),"")</f>
        <v>1430.79</v>
      </c>
      <c r="AY168" s="24">
        <f>IFERROR(INDEX('I2018'!M$5:M$107,MATCH($C168,'I2018'!$A$5:$A$107,0)),"")</f>
        <v>1368.99</v>
      </c>
      <c r="AZ168" s="24">
        <f>IFERROR(INDEX('I2019'!B$5:B$112,MATCH($C168,'I2019'!$A$5:$A$112,0)),"")</f>
        <v>1306.44</v>
      </c>
      <c r="BA168" s="24">
        <f>IFERROR(INDEX('I2019'!C$5:C$112,MATCH($C168,'I2019'!$A$5:$A$112,0)),"")</f>
        <v>1243.1199999999999</v>
      </c>
      <c r="BB168" s="24">
        <f>IFERROR(INDEX('I2019'!D$5:D$112,MATCH($C168,'I2019'!$A$5:$A$112,0)),"")</f>
        <v>1179.01</v>
      </c>
      <c r="BC168" s="24">
        <f>IFERROR(INDEX('I2019'!E$5:E$112,MATCH($C168,'I2019'!$A$5:$A$112,0)),"")</f>
        <v>1114.1199999999999</v>
      </c>
      <c r="BD168" s="24">
        <f>IFERROR(INDEX('I2019'!F$5:F$112,MATCH($C168,'I2019'!$A$5:$A$112,0)),"")</f>
        <v>1048.44</v>
      </c>
      <c r="BE168" s="24">
        <f>IFERROR(INDEX('I2019'!G$5:G$112,MATCH($C168,'I2019'!$A$5:$A$112,0)),"")</f>
        <v>981.97</v>
      </c>
      <c r="BF168" s="24">
        <f>IFERROR(INDEX('I2019'!H$5:H$112,MATCH($C168,'I2019'!$A$5:$A$112,0)),"")</f>
        <v>914.67000000000007</v>
      </c>
      <c r="BG168" s="24">
        <f>IFERROR(INDEX('I2019'!I$5:I$112,MATCH($C168,'I2019'!$A$5:$A$112,0)),"")</f>
        <v>846.53</v>
      </c>
      <c r="BH168" s="24">
        <f>IFERROR(INDEX('I2019'!J$5:J$112,MATCH($C168,'I2019'!$A$5:$A$112,0)),"")</f>
        <v>777.57999999999993</v>
      </c>
      <c r="BI168" s="24">
        <f>IFERROR(INDEX('I2019'!K$5:K$112,MATCH($C168,'I2019'!$A$5:$A$112,0)),"")</f>
        <v>707.77</v>
      </c>
      <c r="BJ168" s="24">
        <f>IFERROR(INDEX('I2019'!L$5:L$112,MATCH($C168,'I2019'!$A$5:$A$112,0)),"")</f>
        <v>647.11</v>
      </c>
      <c r="BK168" s="24">
        <f>IFERROR(INDEX('I2019'!M$5:M$112,MATCH($C168,'I2019'!$A$5:$A$112,0)),"")</f>
        <v>605.69000000000005</v>
      </c>
      <c r="BL168" s="24">
        <f>IFERROR(INDEX('I2020'!B$5:B$113,MATCH($C168,'I2020'!$A$5:$A$113,0)),"")</f>
        <v>563.98</v>
      </c>
      <c r="BM168" s="24">
        <f>IFERROR(INDEX('I2020'!C$5:C$113,MATCH($C168,'I2020'!$A$5:$A$113,0)),"")</f>
        <v>521.97</v>
      </c>
      <c r="BN168" s="24">
        <f>IFERROR(INDEX('I2020'!D$5:D$113,MATCH($C168,'I2020'!$A$5:$A$113,0)),"")</f>
        <v>479.65</v>
      </c>
      <c r="BO168" s="24">
        <f>IFERROR(INDEX('I2020'!E$5:E$113,MATCH($C168,'I2020'!$A$5:$A$113,0)),"")</f>
        <v>437.03</v>
      </c>
      <c r="BP168" s="24">
        <f>IFERROR(INDEX('I2020'!F$5:F$113,MATCH($C168,'I2020'!$A$5:$A$113,0)),"")</f>
        <v>394.11</v>
      </c>
      <c r="BQ168" s="399">
        <f>IFERROR(INDEX('I2020'!G$5:G$113,MATCH($C168,'I2020'!$A$5:$A$113,0)),"")</f>
        <v>350.88</v>
      </c>
      <c r="BR168" s="155">
        <f t="shared" ref="BQ168:CI168" si="112">SUM(BR166:BR167)</f>
        <v>603.91416666666669</v>
      </c>
      <c r="BS168" s="155">
        <f t="shared" si="112"/>
        <v>578.01784722222226</v>
      </c>
      <c r="BT168" s="155">
        <f t="shared" si="112"/>
        <v>555.64183449074073</v>
      </c>
      <c r="BU168" s="155">
        <f t="shared" si="112"/>
        <v>537.14698736496916</v>
      </c>
      <c r="BV168" s="155">
        <f t="shared" si="112"/>
        <v>522.92840297871658</v>
      </c>
      <c r="BW168" s="155">
        <f t="shared" si="112"/>
        <v>512.57993656027622</v>
      </c>
      <c r="BX168" s="155">
        <f t="shared" si="112"/>
        <v>504.82076460696589</v>
      </c>
      <c r="BY168" s="155">
        <f t="shared" si="112"/>
        <v>499.89082832421309</v>
      </c>
      <c r="BZ168" s="155">
        <f t="shared" si="112"/>
        <v>498.05089735123079</v>
      </c>
      <c r="CA168" s="155">
        <f t="shared" si="112"/>
        <v>499.5843054638334</v>
      </c>
      <c r="CB168" s="155">
        <f t="shared" si="112"/>
        <v>504.79716425248625</v>
      </c>
      <c r="CC168" s="155">
        <f t="shared" si="112"/>
        <v>514.02109460686006</v>
      </c>
      <c r="CD168" s="155">
        <f t="shared" si="112"/>
        <v>527.61618582409847</v>
      </c>
      <c r="CE168" s="155">
        <f t="shared" si="112"/>
        <v>521.25802075388447</v>
      </c>
      <c r="CF168" s="155">
        <f t="shared" si="112"/>
        <v>516.52803521485635</v>
      </c>
      <c r="CG168" s="155">
        <f t="shared" si="112"/>
        <v>513.26855194186589</v>
      </c>
      <c r="CH168" s="155">
        <f t="shared" si="112"/>
        <v>511.27868232327398</v>
      </c>
      <c r="CI168" s="156">
        <f t="shared" si="112"/>
        <v>510.3078722686538</v>
      </c>
      <c r="CJ168" s="270"/>
    </row>
    <row r="169" spans="1:88" x14ac:dyDescent="0.3">
      <c r="A169" s="33"/>
      <c r="B169" s="68"/>
      <c r="C169" s="82" t="s">
        <v>261</v>
      </c>
      <c r="D169" s="100" t="str">
        <f>IFERROR(INDEX('I2015'!B$5:B$73,MATCH($C169,'I2015'!$A$5:$A$73,0)),"")</f>
        <v/>
      </c>
      <c r="E169" s="100" t="str">
        <f>IFERROR(INDEX('I2015'!C$5:C$73,MATCH($C169,'I2015'!$A$5:$A$73,0)),"")</f>
        <v/>
      </c>
      <c r="F169" s="100" t="str">
        <f>IFERROR(INDEX('I2015'!D$5:D$73,MATCH($C169,'I2015'!$A$5:$A$73,0)),"")</f>
        <v/>
      </c>
      <c r="G169" s="100" t="str">
        <f>IFERROR(INDEX('I2015'!E$5:E$73,MATCH($C169,'I2015'!$A$5:$A$73,0)),"")</f>
        <v/>
      </c>
      <c r="H169" s="100" t="str">
        <f>IFERROR(INDEX('I2015'!F$5:F$73,MATCH($C169,'I2015'!$A$5:$A$73,0)),"")</f>
        <v/>
      </c>
      <c r="I169" s="100" t="str">
        <f>IFERROR(INDEX('I2015'!G$5:G$73,MATCH($C169,'I2015'!$A$5:$A$73,0)),"")</f>
        <v/>
      </c>
      <c r="J169" s="100" t="str">
        <f>IFERROR(INDEX('I2015'!H$5:H$73,MATCH($C169,'I2015'!$A$5:$A$73,0)),"")</f>
        <v/>
      </c>
      <c r="K169" s="100" t="str">
        <f>IFERROR(INDEX('I2015'!I$5:I$73,MATCH($C169,'I2015'!$A$5:$A$73,0)),"")</f>
        <v/>
      </c>
      <c r="L169" s="100" t="str">
        <f>IFERROR(INDEX('I2015'!J$5:J$73,MATCH($C169,'I2015'!$A$5:$A$73,0)),"")</f>
        <v/>
      </c>
      <c r="M169" s="100" t="str">
        <f>IFERROR(INDEX('I2015'!K$5:K$73,MATCH($C169,'I2015'!$A$5:$A$73,0)),"")</f>
        <v/>
      </c>
      <c r="N169" s="100" t="str">
        <f>IFERROR(INDEX('I2015'!L$5:L$73,MATCH($C169,'I2015'!$A$5:$A$73,0)),"")</f>
        <v/>
      </c>
      <c r="O169" s="100" t="str">
        <f>IFERROR(INDEX('I2015'!M$5:M$73,MATCH($C169,'I2015'!$A$5:$A$73,0)),"")</f>
        <v/>
      </c>
      <c r="P169" s="100" t="str">
        <f>IFERROR(INDEX('I2016'!B$5:B$90,MATCH($C169,'I2016'!$A$5:$A$90,0)),"")</f>
        <v/>
      </c>
      <c r="Q169" s="100" t="str">
        <f>IFERROR(INDEX('I2016'!C$5:C$90,MATCH($C169,'I2016'!$A$5:$A$90,0)),"")</f>
        <v/>
      </c>
      <c r="R169" s="100" t="str">
        <f>IFERROR(INDEX('I2016'!D$5:D$90,MATCH($C169,'I2016'!$A$5:$A$90,0)),"")</f>
        <v/>
      </c>
      <c r="S169" s="100" t="str">
        <f>IFERROR(INDEX('I2016'!E$5:E$90,MATCH($C169,'I2016'!$A$5:$A$90,0)),"")</f>
        <v/>
      </c>
      <c r="T169" s="100" t="str">
        <f>IFERROR(INDEX('I2016'!F$5:F$90,MATCH($C169,'I2016'!$A$5:$A$90,0)),"")</f>
        <v/>
      </c>
      <c r="U169" s="100" t="str">
        <f>IFERROR(INDEX('I2016'!G$5:G$90,MATCH($C169,'I2016'!$A$5:$A$90,0)),"")</f>
        <v/>
      </c>
      <c r="V169" s="100" t="str">
        <f>IFERROR(INDEX('I2016'!H$5:H$90,MATCH($C169,'I2016'!$A$5:$A$90,0)),"")</f>
        <v/>
      </c>
      <c r="W169" s="100" t="str">
        <f>IFERROR(INDEX('I2016'!I$5:I$90,MATCH($C169,'I2016'!$A$5:$A$90,0)),"")</f>
        <v/>
      </c>
      <c r="X169" s="100" t="str">
        <f>IFERROR(INDEX('I2016'!J$5:J$90,MATCH($C169,'I2016'!$A$5:$A$90,0)),"")</f>
        <v/>
      </c>
      <c r="Y169" s="100" t="str">
        <f>IFERROR(INDEX('I2016'!K$5:K$90,MATCH($C169,'I2016'!$A$5:$A$90,0)),"")</f>
        <v/>
      </c>
      <c r="Z169" s="100" t="str">
        <f>IFERROR(INDEX('I2016'!L$5:L$90,MATCH($C169,'I2016'!$A$5:$A$90,0)),"")</f>
        <v/>
      </c>
      <c r="AA169" s="100" t="str">
        <f>IFERROR(INDEX('I2016'!M$5:M$90,MATCH($C169,'I2016'!$A$5:$A$90,0)),"")</f>
        <v/>
      </c>
      <c r="AB169" s="100" t="str">
        <f>IFERROR(INDEX('I2017'!B$5:B$96,MATCH($C169,'I2017'!$A$5:$A$96,0)),"")</f>
        <v/>
      </c>
      <c r="AC169" s="100" t="str">
        <f>IFERROR(INDEX('I2017'!C$5:C$96,MATCH($C169,'I2017'!$A$5:$A$96,0)),"")</f>
        <v/>
      </c>
      <c r="AD169" s="100" t="str">
        <f>IFERROR(INDEX('I2017'!D$5:D$96,MATCH($C169,'I2017'!$A$5:$A$96,0)),"")</f>
        <v/>
      </c>
      <c r="AE169" s="100" t="str">
        <f>IFERROR(INDEX('I2017'!E$5:E$96,MATCH($C169,'I2017'!$A$5:$A$96,0)),"")</f>
        <v/>
      </c>
      <c r="AF169" s="100" t="str">
        <f>IFERROR(INDEX('I2017'!F$5:F$96,MATCH($C169,'I2017'!$A$5:$A$96,0)),"")</f>
        <v/>
      </c>
      <c r="AG169" s="100" t="str">
        <f>IFERROR(INDEX('I2017'!G$5:G$96,MATCH($C169,'I2017'!$A$5:$A$96,0)),"")</f>
        <v/>
      </c>
      <c r="AH169" s="100" t="str">
        <f>IFERROR(INDEX('I2017'!H$5:H$96,MATCH($C169,'I2017'!$A$5:$A$96,0)),"")</f>
        <v/>
      </c>
      <c r="AI169" s="100" t="str">
        <f>IFERROR(INDEX('I2017'!I$5:I$96,MATCH($C169,'I2017'!$A$5:$A$96,0)),"")</f>
        <v/>
      </c>
      <c r="AJ169" s="100" t="str">
        <f>IFERROR(INDEX('I2017'!J$5:J$96,MATCH($C169,'I2017'!$A$5:$A$96,0)),"")</f>
        <v/>
      </c>
      <c r="AK169" s="100" t="str">
        <f>IFERROR(INDEX('I2017'!K$5:K$96,MATCH($C169,'I2017'!$A$5:$A$96,0)),"")</f>
        <v/>
      </c>
      <c r="AL169" s="100" t="str">
        <f>IFERROR(INDEX('I2017'!L$5:L$96,MATCH($C169,'I2017'!$A$5:$A$96,0)),"")</f>
        <v/>
      </c>
      <c r="AM169" s="100" t="str">
        <f>IFERROR(INDEX('I2017'!M$5:M$96,MATCH($C169,'I2017'!$A$5:$A$96,0)),"")</f>
        <v/>
      </c>
      <c r="AN169" s="100" t="str">
        <f>IFERROR(INDEX('I2018'!B$5:B$107,MATCH($C169,'I2018'!$A$5:$A$107,0)),"")</f>
        <v/>
      </c>
      <c r="AO169" s="100" t="str">
        <f>IFERROR(INDEX('I2018'!C$5:C$107,MATCH($C169,'I2018'!$A$5:$A$107,0)),"")</f>
        <v/>
      </c>
      <c r="AP169" s="100" t="str">
        <f>IFERROR(INDEX('I2018'!D$5:D$107,MATCH($C169,'I2018'!$A$5:$A$107,0)),"")</f>
        <v/>
      </c>
      <c r="AQ169" s="100" t="str">
        <f>IFERROR(INDEX('I2018'!E$5:E$107,MATCH($C169,'I2018'!$A$5:$A$107,0)),"")</f>
        <v/>
      </c>
      <c r="AR169" s="100" t="str">
        <f>IFERROR(INDEX('I2018'!F$5:F$107,MATCH($C169,'I2018'!$A$5:$A$107,0)),"")</f>
        <v/>
      </c>
      <c r="AS169" s="100" t="str">
        <f>IFERROR(INDEX('I2018'!G$5:G$107,MATCH($C169,'I2018'!$A$5:$A$107,0)),"")</f>
        <v/>
      </c>
      <c r="AT169" s="100" t="str">
        <f>IFERROR(INDEX('I2018'!H$5:H$107,MATCH($C169,'I2018'!$A$5:$A$107,0)),"")</f>
        <v/>
      </c>
      <c r="AU169" s="100" t="str">
        <f>IFERROR(INDEX('I2018'!I$5:I$107,MATCH($C169,'I2018'!$A$5:$A$107,0)),"")</f>
        <v/>
      </c>
      <c r="AV169" s="100" t="str">
        <f>IFERROR(INDEX('I2018'!J$5:J$107,MATCH($C169,'I2018'!$A$5:$A$107,0)),"")</f>
        <v/>
      </c>
      <c r="AW169" s="100" t="str">
        <f>IFERROR(INDEX('I2018'!K$5:K$107,MATCH($C169,'I2018'!$A$5:$A$107,0)),"")</f>
        <v/>
      </c>
      <c r="AX169" s="100" t="str">
        <f>IFERROR(INDEX('I2018'!L$5:L$107,MATCH($C169,'I2018'!$A$5:$A$107,0)),"")</f>
        <v/>
      </c>
      <c r="AY169" s="100" t="str">
        <f>IFERROR(INDEX('I2018'!M$5:M$107,MATCH($C169,'I2018'!$A$5:$A$107,0)),"")</f>
        <v/>
      </c>
      <c r="AZ169" s="100" t="str">
        <f>IFERROR(INDEX('I2019'!B$5:B$112,MATCH($C169,'I2019'!$A$5:$A$112,0)),"")</f>
        <v/>
      </c>
      <c r="BA169" s="100" t="str">
        <f>IFERROR(INDEX('I2019'!C$5:C$112,MATCH($C169,'I2019'!$A$5:$A$112,0)),"")</f>
        <v/>
      </c>
      <c r="BB169" s="100" t="str">
        <f>IFERROR(INDEX('I2019'!D$5:D$112,MATCH($C169,'I2019'!$A$5:$A$112,0)),"")</f>
        <v/>
      </c>
      <c r="BC169" s="100" t="str">
        <f>IFERROR(INDEX('I2019'!E$5:E$112,MATCH($C169,'I2019'!$A$5:$A$112,0)),"")</f>
        <v/>
      </c>
      <c r="BD169" s="100" t="str">
        <f>IFERROR(INDEX('I2019'!F$5:F$112,MATCH($C169,'I2019'!$A$5:$A$112,0)),"")</f>
        <v/>
      </c>
      <c r="BE169" s="100" t="str">
        <f>IFERROR(INDEX('I2019'!G$5:G$112,MATCH($C169,'I2019'!$A$5:$A$112,0)),"")</f>
        <v/>
      </c>
      <c r="BF169" s="100" t="str">
        <f>IFERROR(INDEX('I2019'!H$5:H$112,MATCH($C169,'I2019'!$A$5:$A$112,0)),"")</f>
        <v/>
      </c>
      <c r="BG169" s="100" t="str">
        <f>IFERROR(INDEX('I2019'!I$5:I$112,MATCH($C169,'I2019'!$A$5:$A$112,0)),"")</f>
        <v/>
      </c>
      <c r="BH169" s="100" t="str">
        <f>IFERROR(INDEX('I2019'!J$5:J$112,MATCH($C169,'I2019'!$A$5:$A$112,0)),"")</f>
        <v/>
      </c>
      <c r="BI169" s="100" t="str">
        <f>IFERROR(INDEX('I2019'!K$5:K$112,MATCH($C169,'I2019'!$A$5:$A$112,0)),"")</f>
        <v/>
      </c>
      <c r="BJ169" s="100" t="str">
        <f>IFERROR(INDEX('I2019'!L$5:L$112,MATCH($C169,'I2019'!$A$5:$A$112,0)),"")</f>
        <v/>
      </c>
      <c r="BK169" s="100" t="str">
        <f>IFERROR(INDEX('I2019'!M$5:M$112,MATCH($C169,'I2019'!$A$5:$A$112,0)),"")</f>
        <v/>
      </c>
      <c r="BL169" s="100" t="str">
        <f>IFERROR(INDEX('I2020'!B$5:B$113,MATCH($C169,'I2020'!$A$5:$A$113,0)),"")</f>
        <v/>
      </c>
      <c r="BM169" s="100" t="str">
        <f>IFERROR(INDEX('I2020'!C$5:C$113,MATCH($C169,'I2020'!$A$5:$A$113,0)),"")</f>
        <v/>
      </c>
      <c r="BN169" s="100" t="str">
        <f>IFERROR(INDEX('I2020'!D$5:D$113,MATCH($C169,'I2020'!$A$5:$A$113,0)),"")</f>
        <v/>
      </c>
      <c r="BO169" s="100" t="str">
        <f>IFERROR(INDEX('I2020'!E$5:E$113,MATCH($C169,'I2020'!$A$5:$A$113,0)),"")</f>
        <v/>
      </c>
      <c r="BP169" s="100" t="str">
        <f>IFERROR(INDEX('I2020'!F$5:F$113,MATCH($C169,'I2020'!$A$5:$A$113,0)),"")</f>
        <v/>
      </c>
      <c r="BQ169" s="395" t="str">
        <f>IFERROR(INDEX('I2020'!G$5:G$113,MATCH($C169,'I2020'!$A$5:$A$113,0)),"")</f>
        <v/>
      </c>
      <c r="BR169" s="148"/>
      <c r="BS169" s="148"/>
      <c r="BT169" s="148"/>
      <c r="BU169" s="148"/>
      <c r="BV169" s="148"/>
      <c r="BW169" s="148"/>
      <c r="BX169" s="148"/>
      <c r="BY169" s="148"/>
      <c r="BZ169" s="148"/>
      <c r="CA169" s="148"/>
      <c r="CB169" s="148"/>
      <c r="CC169" s="148"/>
      <c r="CD169" s="148"/>
      <c r="CE169" s="148"/>
      <c r="CF169" s="148"/>
      <c r="CG169" s="148"/>
      <c r="CH169" s="148"/>
      <c r="CI169" s="149"/>
      <c r="CJ169" s="134"/>
    </row>
    <row r="170" spans="1:88" x14ac:dyDescent="0.3">
      <c r="A170" s="33"/>
      <c r="B170" s="140"/>
      <c r="C170" s="21" t="s">
        <v>114</v>
      </c>
      <c r="D170" s="24">
        <f>IFERROR(INDEX('I2015'!B$5:B$73,MATCH($C170,'I2015'!$A$5:$A$73,0)),"")</f>
        <v>-87.59</v>
      </c>
      <c r="E170" s="24">
        <f>IFERROR(INDEX('I2015'!C$5:C$73,MATCH($C170,'I2015'!$A$5:$A$73,0)),"")</f>
        <v>-88.32</v>
      </c>
      <c r="F170" s="24">
        <f>IFERROR(INDEX('I2015'!D$5:D$73,MATCH($C170,'I2015'!$A$5:$A$73,0)),"")</f>
        <v>-97.929999999999993</v>
      </c>
      <c r="G170" s="24">
        <f>IFERROR(INDEX('I2015'!E$5:E$73,MATCH($C170,'I2015'!$A$5:$A$73,0)),"")</f>
        <v>-89.8</v>
      </c>
      <c r="H170" s="24">
        <f>IFERROR(INDEX('I2015'!F$5:F$73,MATCH($C170,'I2015'!$A$5:$A$73,0)),"")</f>
        <v>-90.54</v>
      </c>
      <c r="I170" s="24">
        <f>IFERROR(INDEX('I2015'!G$5:G$73,MATCH($C170,'I2015'!$A$5:$A$73,0)),"")</f>
        <v>-195.64999999999998</v>
      </c>
      <c r="J170" s="24">
        <f>IFERROR(INDEX('I2015'!H$5:H$73,MATCH($C170,'I2015'!$A$5:$A$73,0)),"")</f>
        <v>-230.7</v>
      </c>
      <c r="K170" s="24">
        <f>IFERROR(INDEX('I2015'!I$5:I$73,MATCH($C170,'I2015'!$A$5:$A$73,0)),"")</f>
        <v>-247.14</v>
      </c>
      <c r="L170" s="24">
        <f>IFERROR(INDEX('I2015'!J$5:J$73,MATCH($C170,'I2015'!$A$5:$A$73,0)),"")</f>
        <v>-346.23</v>
      </c>
      <c r="M170" s="24">
        <f>IFERROR(INDEX('I2015'!K$5:K$73,MATCH($C170,'I2015'!$A$5:$A$73,0)),"")</f>
        <v>-551.69000000000005</v>
      </c>
      <c r="N170" s="24">
        <f>IFERROR(INDEX('I2015'!L$5:L$73,MATCH($C170,'I2015'!$A$5:$A$73,0)),"")</f>
        <v>-581.78</v>
      </c>
      <c r="O170" s="24">
        <f>IFERROR(INDEX('I2015'!M$5:M$73,MATCH($C170,'I2015'!$A$5:$A$73,0)),"")</f>
        <v>-621.32000000000005</v>
      </c>
      <c r="P170" s="24">
        <f>IFERROR(INDEX('I2016'!B$5:B$90,MATCH($C170,'I2016'!$A$5:$A$90,0)),"")</f>
        <v>-10332.469999999999</v>
      </c>
      <c r="Q170" s="24">
        <f>IFERROR(INDEX('I2016'!C$5:C$90,MATCH($C170,'I2016'!$A$5:$A$90,0)),"")</f>
        <v>-1046.1199999999999</v>
      </c>
      <c r="R170" s="24">
        <f>IFERROR(INDEX('I2016'!D$5:D$90,MATCH($C170,'I2016'!$A$5:$A$90,0)),"")</f>
        <v>-1076.8100000000002</v>
      </c>
      <c r="S170" s="24">
        <f>IFERROR(INDEX('I2016'!E$5:E$90,MATCH($C170,'I2016'!$A$5:$A$90,0)),"")</f>
        <v>-980.84000000000015</v>
      </c>
      <c r="T170" s="24">
        <f>IFERROR(INDEX('I2016'!F$5:F$90,MATCH($C170,'I2016'!$A$5:$A$90,0)),"")</f>
        <v>-846.02</v>
      </c>
      <c r="U170" s="24">
        <f>IFERROR(INDEX('I2016'!G$5:G$90,MATCH($C170,'I2016'!$A$5:$A$90,0)),"")</f>
        <v>-766.19</v>
      </c>
      <c r="V170" s="24">
        <f>IFERROR(INDEX('I2016'!H$5:H$90,MATCH($C170,'I2016'!$A$5:$A$90,0)),"")</f>
        <v>-705.1400000000001</v>
      </c>
      <c r="W170" s="24">
        <f>IFERROR(INDEX('I2016'!I$5:I$90,MATCH($C170,'I2016'!$A$5:$A$90,0)),"")</f>
        <v>-828.08</v>
      </c>
      <c r="X170" s="24">
        <f>IFERROR(INDEX('I2016'!J$5:J$90,MATCH($C170,'I2016'!$A$5:$A$90,0)),"")</f>
        <v>-788.65</v>
      </c>
      <c r="Y170" s="24">
        <f>IFERROR(INDEX('I2016'!K$5:K$90,MATCH($C170,'I2016'!$A$5:$A$90,0)),"")</f>
        <v>-582.64</v>
      </c>
      <c r="Z170" s="24">
        <f>IFERROR(INDEX('I2016'!L$5:L$90,MATCH($C170,'I2016'!$A$5:$A$90,0)),"")</f>
        <v>-752.06999999999994</v>
      </c>
      <c r="AA170" s="24">
        <f>IFERROR(INDEX('I2016'!M$5:M$90,MATCH($C170,'I2016'!$A$5:$A$90,0)),"")</f>
        <v>-761.81</v>
      </c>
      <c r="AB170" s="24">
        <f>IFERROR(INDEX('I2017'!B$5:B$96,MATCH($C170,'I2017'!$A$5:$A$96,0)),"")</f>
        <v>-7911.98</v>
      </c>
      <c r="AC170" s="24">
        <f>IFERROR(INDEX('I2017'!C$5:C$96,MATCH($C170,'I2017'!$A$5:$A$96,0)),"")</f>
        <v>-1390.1999999999998</v>
      </c>
      <c r="AD170" s="24">
        <f>IFERROR(INDEX('I2017'!D$5:D$96,MATCH($C170,'I2017'!$A$5:$A$96,0)),"")</f>
        <v>-2710.2599999999998</v>
      </c>
      <c r="AE170" s="24">
        <f>IFERROR(INDEX('I2017'!E$5:E$96,MATCH($C170,'I2017'!$A$5:$A$96,0)),"")</f>
        <v>-2628.6</v>
      </c>
      <c r="AF170" s="24">
        <f>IFERROR(INDEX('I2017'!F$5:F$96,MATCH($C170,'I2017'!$A$5:$A$96,0)),"")</f>
        <v>-3029.2099999999996</v>
      </c>
      <c r="AG170" s="24">
        <f>IFERROR(INDEX('I2017'!G$5:G$96,MATCH($C170,'I2017'!$A$5:$A$96,0)),"")</f>
        <v>-2429.4699999999998</v>
      </c>
      <c r="AH170" s="24">
        <f>IFERROR(INDEX('I2017'!H$5:H$96,MATCH($C170,'I2017'!$A$5:$A$96,0)),"")</f>
        <v>-2188.39</v>
      </c>
      <c r="AI170" s="24">
        <f>IFERROR(INDEX('I2017'!I$5:I$96,MATCH($C170,'I2017'!$A$5:$A$96,0)),"")</f>
        <v>-2140.34</v>
      </c>
      <c r="AJ170" s="24">
        <f>IFERROR(INDEX('I2017'!J$5:J$96,MATCH($C170,'I2017'!$A$5:$A$96,0)),"")</f>
        <v>-2091.7000000000003</v>
      </c>
      <c r="AK170" s="24">
        <f>IFERROR(INDEX('I2017'!K$5:K$96,MATCH($C170,'I2017'!$A$5:$A$96,0)),"")</f>
        <v>-2707.34</v>
      </c>
      <c r="AL170" s="24">
        <f>IFERROR(INDEX('I2017'!L$5:L$96,MATCH($C170,'I2017'!$A$5:$A$96,0)),"")</f>
        <v>-2116.46</v>
      </c>
      <c r="AM170" s="24">
        <f>IFERROR(INDEX('I2017'!M$5:M$96,MATCH($C170,'I2017'!$A$5:$A$96,0)),"")</f>
        <v>-2063.0700000000002</v>
      </c>
      <c r="AN170" s="24">
        <f>IFERROR(INDEX('I2018'!B$5:B$107,MATCH($C170,'I2018'!$A$5:$A$107,0)),"")</f>
        <v>-2001.6</v>
      </c>
      <c r="AO170" s="24">
        <f>IFERROR(INDEX('I2018'!C$5:C$107,MATCH($C170,'I2018'!$A$5:$A$107,0)),"")</f>
        <v>-1941.8799999999999</v>
      </c>
      <c r="AP170" s="24">
        <f>IFERROR(INDEX('I2018'!D$5:D$107,MATCH($C170,'I2018'!$A$5:$A$107,0)),"")</f>
        <v>-1890.32</v>
      </c>
      <c r="AQ170" s="24">
        <f>IFERROR(INDEX('I2018'!E$5:E$107,MATCH($C170,'I2018'!$A$5:$A$107,0)),"")</f>
        <v>-1836.82</v>
      </c>
      <c r="AR170" s="24">
        <f>IFERROR(INDEX('I2018'!F$5:F$107,MATCH($C170,'I2018'!$A$5:$A$107,0)),"")</f>
        <v>-1777.9799999999998</v>
      </c>
      <c r="AS170" s="24">
        <f>IFERROR(INDEX('I2018'!G$5:G$107,MATCH($C170,'I2018'!$A$5:$A$107,0)),"")</f>
        <v>-1717.6200000000001</v>
      </c>
      <c r="AT170" s="24">
        <f>IFERROR(INDEX('I2018'!H$5:H$107,MATCH($C170,'I2018'!$A$5:$A$107,0)),"")</f>
        <v>-1649.45</v>
      </c>
      <c r="AU170" s="24">
        <f>IFERROR(INDEX('I2018'!I$5:I$107,MATCH($C170,'I2018'!$A$5:$A$107,0)),"")</f>
        <v>-1587.34</v>
      </c>
      <c r="AV170" s="24">
        <f>IFERROR(INDEX('I2018'!J$5:J$107,MATCH($C170,'I2018'!$A$5:$A$107,0)),"")</f>
        <v>-1530.03</v>
      </c>
      <c r="AW170" s="24">
        <f>IFERROR(INDEX('I2018'!K$5:K$107,MATCH($C170,'I2018'!$A$5:$A$107,0)),"")</f>
        <v>-1473.8999999999999</v>
      </c>
      <c r="AX170" s="24">
        <f>IFERROR(INDEX('I2018'!L$5:L$107,MATCH($C170,'I2018'!$A$5:$A$107,0)),"")</f>
        <v>-1423.29</v>
      </c>
      <c r="AY170" s="24">
        <f>IFERROR(INDEX('I2018'!M$5:M$107,MATCH($C170,'I2018'!$A$5:$A$107,0)),"")</f>
        <v>-1365.5</v>
      </c>
      <c r="AZ170" s="24">
        <f>IFERROR(INDEX('I2019'!B$5:B$112,MATCH($C170,'I2019'!$A$5:$A$112,0)),"")</f>
        <v>-1303.6300000000001</v>
      </c>
      <c r="BA170" s="24">
        <f>IFERROR(INDEX('I2019'!C$5:C$112,MATCH($C170,'I2019'!$A$5:$A$112,0)),"")</f>
        <v>-1240.5899999999999</v>
      </c>
      <c r="BB170" s="24">
        <f>IFERROR(INDEX('I2019'!D$5:D$112,MATCH($C170,'I2019'!$A$5:$A$112,0)),"")</f>
        <v>-1176.2</v>
      </c>
      <c r="BC170" s="24">
        <f>IFERROR(INDEX('I2019'!E$5:E$112,MATCH($C170,'I2019'!$A$5:$A$112,0)),"")</f>
        <v>-1111.3999999999999</v>
      </c>
      <c r="BD170" s="24">
        <f>IFERROR(INDEX('I2019'!F$5:F$112,MATCH($C170,'I2019'!$A$5:$A$112,0)),"")</f>
        <v>-1045.6400000000001</v>
      </c>
      <c r="BE170" s="24">
        <f>IFERROR(INDEX('I2019'!G$5:G$112,MATCH($C170,'I2019'!$A$5:$A$112,0)),"")</f>
        <v>-979.25</v>
      </c>
      <c r="BF170" s="24">
        <f>IFERROR(INDEX('I2019'!H$5:H$112,MATCH($C170,'I2019'!$A$5:$A$112,0)),"")</f>
        <v>-596.85000000000014</v>
      </c>
      <c r="BG170" s="24">
        <f>IFERROR(INDEX('I2019'!I$5:I$112,MATCH($C170,'I2019'!$A$5:$A$112,0)),"")</f>
        <v>-843.73</v>
      </c>
      <c r="BH170" s="24">
        <f>IFERROR(INDEX('I2019'!J$5:J$112,MATCH($C170,'I2019'!$A$5:$A$112,0)),"")</f>
        <v>-774.8599999999999</v>
      </c>
      <c r="BI170" s="24">
        <f>IFERROR(INDEX('I2019'!K$5:K$112,MATCH($C170,'I2019'!$A$5:$A$112,0)),"")</f>
        <v>-705.61</v>
      </c>
      <c r="BJ170" s="24">
        <f>IFERROR(INDEX('I2019'!L$5:L$112,MATCH($C170,'I2019'!$A$5:$A$112,0)),"")</f>
        <v>-644.51</v>
      </c>
      <c r="BK170" s="24">
        <f>IFERROR(INDEX('I2019'!M$5:M$112,MATCH($C170,'I2019'!$A$5:$A$112,0)),"")</f>
        <v>-603.31000000000006</v>
      </c>
      <c r="BL170" s="24">
        <f>IFERROR(INDEX('I2020'!B$5:B$113,MATCH($C170,'I2020'!$A$5:$A$113,0)),"")</f>
        <v>-561.44000000000005</v>
      </c>
      <c r="BM170" s="24">
        <f>IFERROR(INDEX('I2020'!C$5:C$113,MATCH($C170,'I2020'!$A$5:$A$113,0)),"")</f>
        <v>-519.59</v>
      </c>
      <c r="BN170" s="24">
        <f>IFERROR(INDEX('I2020'!D$5:D$113,MATCH($C170,'I2020'!$A$5:$A$113,0)),"")</f>
        <v>-478.21</v>
      </c>
      <c r="BO170" s="24">
        <f>IFERROR(INDEX('I2020'!E$5:E$113,MATCH($C170,'I2020'!$A$5:$A$113,0)),"")</f>
        <v>-433.59</v>
      </c>
      <c r="BP170" s="24">
        <f>IFERROR(INDEX('I2020'!F$5:F$113,MATCH($C170,'I2020'!$A$5:$A$113,0)),"")</f>
        <v>-367.05</v>
      </c>
      <c r="BQ170" s="399">
        <f>IFERROR(INDEX('I2020'!G$5:G$113,MATCH($C170,'I2020'!$A$5:$A$113,0)),"")</f>
        <v>-316.45</v>
      </c>
      <c r="BR170" s="155">
        <f t="shared" ref="BQ170:CI170" si="113">BR157-BR168</f>
        <v>-544.1825</v>
      </c>
      <c r="BS170" s="155">
        <f t="shared" si="113"/>
        <v>-561.6692361111111</v>
      </c>
      <c r="BT170" s="155">
        <f t="shared" si="113"/>
        <v>-537.43498263888887</v>
      </c>
      <c r="BU170" s="155">
        <f t="shared" si="113"/>
        <v>-516.79884307484576</v>
      </c>
      <c r="BV170" s="155">
        <f t="shared" si="113"/>
        <v>-500.072071638696</v>
      </c>
      <c r="BW170" s="155">
        <f t="shared" si="113"/>
        <v>-486.87765118969151</v>
      </c>
      <c r="BX170" s="155">
        <f t="shared" si="113"/>
        <v>-475.82404130012077</v>
      </c>
      <c r="BY170" s="155">
        <f t="shared" si="113"/>
        <v>-470.26544458973899</v>
      </c>
      <c r="BZ170" s="155">
        <f t="shared" si="113"/>
        <v>-467.73113148682523</v>
      </c>
      <c r="CA170" s="155">
        <f t="shared" si="113"/>
        <v>-468.43395895866882</v>
      </c>
      <c r="CB170" s="155">
        <f t="shared" si="113"/>
        <v>-472.91368871983275</v>
      </c>
      <c r="CC170" s="155">
        <f t="shared" si="113"/>
        <v>-483.31172929442687</v>
      </c>
      <c r="CD170" s="155">
        <f t="shared" si="113"/>
        <v>-498.79293991690395</v>
      </c>
      <c r="CE170" s="155">
        <f t="shared" si="113"/>
        <v>-495.01047657664594</v>
      </c>
      <c r="CF170" s="155">
        <f t="shared" si="113"/>
        <v>-489.45557994877385</v>
      </c>
      <c r="CG170" s="155">
        <f t="shared" si="113"/>
        <v>-485.45729639126421</v>
      </c>
      <c r="CH170" s="155">
        <f t="shared" si="113"/>
        <v>-482.84550083429912</v>
      </c>
      <c r="CI170" s="156">
        <f t="shared" si="113"/>
        <v>-481.40995326726602</v>
      </c>
      <c r="CJ170" s="270"/>
    </row>
    <row r="171" spans="1:88" x14ac:dyDescent="0.3">
      <c r="A171" s="33"/>
      <c r="B171" s="140"/>
      <c r="C171" s="21" t="s">
        <v>115</v>
      </c>
      <c r="D171" s="24">
        <f>IFERROR(INDEX('I2015'!B$5:B$73,MATCH($C171,'I2015'!$A$5:$A$73,0)),"")</f>
        <v>255.27000000000058</v>
      </c>
      <c r="E171" s="24">
        <f>IFERROR(INDEX('I2015'!C$5:C$73,MATCH($C171,'I2015'!$A$5:$A$73,0)),"")</f>
        <v>-8683.4200000000019</v>
      </c>
      <c r="F171" s="24">
        <f>IFERROR(INDEX('I2015'!D$5:D$73,MATCH($C171,'I2015'!$A$5:$A$73,0)),"")</f>
        <v>-16881.989999999998</v>
      </c>
      <c r="G171" s="24">
        <f>IFERROR(INDEX('I2015'!E$5:E$73,MATCH($C171,'I2015'!$A$5:$A$73,0)),"")</f>
        <v>-12713.960000000003</v>
      </c>
      <c r="H171" s="24">
        <f>IFERROR(INDEX('I2015'!F$5:F$73,MATCH($C171,'I2015'!$A$5:$A$73,0)),"")</f>
        <v>-3126.13</v>
      </c>
      <c r="I171" s="24">
        <f>IFERROR(INDEX('I2015'!G$5:G$73,MATCH($C171,'I2015'!$A$5:$A$73,0)),"")</f>
        <v>-25244.140000000007</v>
      </c>
      <c r="J171" s="24">
        <f>IFERROR(INDEX('I2015'!H$5:H$73,MATCH($C171,'I2015'!$A$5:$A$73,0)),"")</f>
        <v>-10544.400000000005</v>
      </c>
      <c r="K171" s="24">
        <f>IFERROR(INDEX('I2015'!I$5:I$73,MATCH($C171,'I2015'!$A$5:$A$73,0)),"")</f>
        <v>-8361.7200000000012</v>
      </c>
      <c r="L171" s="24">
        <f>IFERROR(INDEX('I2015'!J$5:J$73,MATCH($C171,'I2015'!$A$5:$A$73,0)),"")</f>
        <v>1061.7200000000043</v>
      </c>
      <c r="M171" s="24">
        <f>IFERROR(INDEX('I2015'!K$5:K$73,MATCH($C171,'I2015'!$A$5:$A$73,0)),"")</f>
        <v>-1450.5799999999995</v>
      </c>
      <c r="N171" s="24">
        <f>IFERROR(INDEX('I2015'!L$5:L$73,MATCH($C171,'I2015'!$A$5:$A$73,0)),"")</f>
        <v>-3575.5799999999954</v>
      </c>
      <c r="O171" s="24">
        <f>IFERROR(INDEX('I2015'!M$5:M$73,MATCH($C171,'I2015'!$A$5:$A$73,0)),"")</f>
        <v>-3058.7399999999984</v>
      </c>
      <c r="P171" s="24">
        <f>IFERROR(INDEX('I2016'!B$5:B$90,MATCH($C171,'I2016'!$A$5:$A$90,0)),"")</f>
        <v>-22021.050000000003</v>
      </c>
      <c r="Q171" s="24">
        <f>IFERROR(INDEX('I2016'!C$5:C$90,MATCH($C171,'I2016'!$A$5:$A$90,0)),"")</f>
        <v>8211.0499999999993</v>
      </c>
      <c r="R171" s="24">
        <f>IFERROR(INDEX('I2016'!D$5:D$90,MATCH($C171,'I2016'!$A$5:$A$90,0)),"")</f>
        <v>19393.740000000002</v>
      </c>
      <c r="S171" s="24">
        <f>IFERROR(INDEX('I2016'!E$5:E$90,MATCH($C171,'I2016'!$A$5:$A$90,0)),"")</f>
        <v>8275.8300000000127</v>
      </c>
      <c r="T171" s="24">
        <f>IFERROR(INDEX('I2016'!F$5:F$90,MATCH($C171,'I2016'!$A$5:$A$90,0)),"")</f>
        <v>-11705.959999999988</v>
      </c>
      <c r="U171" s="24">
        <f>IFERROR(INDEX('I2016'!G$5:G$90,MATCH($C171,'I2016'!$A$5:$A$90,0)),"")</f>
        <v>13202.199999999984</v>
      </c>
      <c r="V171" s="24">
        <f>IFERROR(INDEX('I2016'!H$5:H$90,MATCH($C171,'I2016'!$A$5:$A$90,0)),"")</f>
        <v>-522.35999999997216</v>
      </c>
      <c r="W171" s="24">
        <f>IFERROR(INDEX('I2016'!I$5:I$90,MATCH($C171,'I2016'!$A$5:$A$90,0)),"")</f>
        <v>-2172.4200000000255</v>
      </c>
      <c r="X171" s="24">
        <f>IFERROR(INDEX('I2016'!J$5:J$90,MATCH($C171,'I2016'!$A$5:$A$90,0)),"")</f>
        <v>-22189.879999999983</v>
      </c>
      <c r="Y171" s="24">
        <f>IFERROR(INDEX('I2016'!K$5:K$90,MATCH($C171,'I2016'!$A$5:$A$90,0)),"")</f>
        <v>-29280.010000000009</v>
      </c>
      <c r="Z171" s="24">
        <f>IFERROR(INDEX('I2016'!L$5:L$90,MATCH($C171,'I2016'!$A$5:$A$90,0)),"")</f>
        <v>3025.5400000000009</v>
      </c>
      <c r="AA171" s="24">
        <f>IFERROR(INDEX('I2016'!M$5:M$90,MATCH($C171,'I2016'!$A$5:$A$90,0)),"")</f>
        <v>7357.5399999999772</v>
      </c>
      <c r="AB171" s="24">
        <f>IFERROR(INDEX('I2017'!B$5:B$96,MATCH($C171,'I2017'!$A$5:$A$96,0)),"")</f>
        <v>-47833.049999999988</v>
      </c>
      <c r="AC171" s="24">
        <f>IFERROR(INDEX('I2017'!C$5:C$96,MATCH($C171,'I2017'!$A$5:$A$96,0)),"")</f>
        <v>-28274.819999999996</v>
      </c>
      <c r="AD171" s="24">
        <f>IFERROR(INDEX('I2017'!D$5:D$96,MATCH($C171,'I2017'!$A$5:$A$96,0)),"")</f>
        <v>-3610.8800000000097</v>
      </c>
      <c r="AE171" s="24">
        <f>IFERROR(INDEX('I2017'!E$5:E$96,MATCH($C171,'I2017'!$A$5:$A$96,0)),"")</f>
        <v>-33102.840000000004</v>
      </c>
      <c r="AF171" s="24">
        <f>IFERROR(INDEX('I2017'!F$5:F$96,MATCH($C171,'I2017'!$A$5:$A$96,0)),"")</f>
        <v>4176.3799999999974</v>
      </c>
      <c r="AG171" s="24">
        <f>IFERROR(INDEX('I2017'!G$5:G$96,MATCH($C171,'I2017'!$A$5:$A$96,0)),"")</f>
        <v>17105.400000000009</v>
      </c>
      <c r="AH171" s="24">
        <f>IFERROR(INDEX('I2017'!H$5:H$96,MATCH($C171,'I2017'!$A$5:$A$96,0)),"")</f>
        <v>-16171.479999999996</v>
      </c>
      <c r="AI171" s="24">
        <f>IFERROR(INDEX('I2017'!I$5:I$96,MATCH($C171,'I2017'!$A$5:$A$96,0)),"")</f>
        <v>4728.6000000000313</v>
      </c>
      <c r="AJ171" s="24">
        <f>IFERROR(INDEX('I2017'!J$5:J$96,MATCH($C171,'I2017'!$A$5:$A$96,0)),"")</f>
        <v>-22379.620000000043</v>
      </c>
      <c r="AK171" s="24">
        <f>IFERROR(INDEX('I2017'!K$5:K$96,MATCH($C171,'I2017'!$A$5:$A$96,0)),"")</f>
        <v>-64443.489999999991</v>
      </c>
      <c r="AL171" s="24">
        <f>IFERROR(INDEX('I2017'!L$5:L$96,MATCH($C171,'I2017'!$A$5:$A$96,0)),"")</f>
        <v>4665.3000000000093</v>
      </c>
      <c r="AM171" s="24">
        <f>IFERROR(INDEX('I2017'!M$5:M$96,MATCH($C171,'I2017'!$A$5:$A$96,0)),"")</f>
        <v>-36773.249999999993</v>
      </c>
      <c r="AN171" s="24">
        <f>IFERROR(INDEX('I2018'!B$5:B$107,MATCH($C171,'I2018'!$A$5:$A$107,0)),"")</f>
        <v>-26086.459999999955</v>
      </c>
      <c r="AO171" s="24">
        <f>IFERROR(INDEX('I2018'!C$5:C$107,MATCH($C171,'I2018'!$A$5:$A$107,0)),"")</f>
        <v>-122278.78000000003</v>
      </c>
      <c r="AP171" s="24">
        <f>IFERROR(INDEX('I2018'!D$5:D$107,MATCH($C171,'I2018'!$A$5:$A$107,0)),"")</f>
        <v>-242423.36999999988</v>
      </c>
      <c r="AQ171" s="24">
        <f>IFERROR(INDEX('I2018'!E$5:E$107,MATCH($C171,'I2018'!$A$5:$A$107,0)),"")</f>
        <v>210800.75</v>
      </c>
      <c r="AR171" s="24">
        <f>IFERROR(INDEX('I2018'!F$5:F$107,MATCH($C171,'I2018'!$A$5:$A$107,0)),"")</f>
        <v>109908.56999999993</v>
      </c>
      <c r="AS171" s="24">
        <f>IFERROR(INDEX('I2018'!G$5:G$107,MATCH($C171,'I2018'!$A$5:$A$107,0)),"")</f>
        <v>-118149.56999999995</v>
      </c>
      <c r="AT171" s="24">
        <f>IFERROR(INDEX('I2018'!H$5:H$107,MATCH($C171,'I2018'!$A$5:$A$107,0)),"")</f>
        <v>-14706.86000000015</v>
      </c>
      <c r="AU171" s="24">
        <f>IFERROR(INDEX('I2018'!I$5:I$107,MATCH($C171,'I2018'!$A$5:$A$107,0)),"")</f>
        <v>146446.62000000008</v>
      </c>
      <c r="AV171" s="24">
        <f>IFERROR(INDEX('I2018'!J$5:J$107,MATCH($C171,'I2018'!$A$5:$A$107,0)),"")</f>
        <v>-253293.95000000004</v>
      </c>
      <c r="AW171" s="24">
        <f>IFERROR(INDEX('I2018'!K$5:K$107,MATCH($C171,'I2018'!$A$5:$A$107,0)),"")</f>
        <v>-232624.20999999993</v>
      </c>
      <c r="AX171" s="24">
        <f>IFERROR(INDEX('I2018'!L$5:L$107,MATCH($C171,'I2018'!$A$5:$A$107,0)),"")</f>
        <v>-114816.81000000001</v>
      </c>
      <c r="AY171" s="24">
        <f>IFERROR(INDEX('I2018'!M$5:M$107,MATCH($C171,'I2018'!$A$5:$A$107,0)),"")</f>
        <v>-197118.38</v>
      </c>
      <c r="AZ171" s="24">
        <f>IFERROR(INDEX('I2019'!B$5:B$112,MATCH($C171,'I2019'!$A$5:$A$112,0)),"")</f>
        <v>105667.18999999983</v>
      </c>
      <c r="BA171" s="24">
        <f>IFERROR(INDEX('I2019'!C$5:C$112,MATCH($C171,'I2019'!$A$5:$A$112,0)),"")</f>
        <v>4811.7799999997624</v>
      </c>
      <c r="BB171" s="24">
        <f>IFERROR(INDEX('I2019'!D$5:D$112,MATCH($C171,'I2019'!$A$5:$A$112,0)),"")</f>
        <v>53489.640000000087</v>
      </c>
      <c r="BC171" s="24">
        <f>IFERROR(INDEX('I2019'!E$5:E$112,MATCH($C171,'I2019'!$A$5:$A$112,0)),"")</f>
        <v>14403.099999999651</v>
      </c>
      <c r="BD171" s="24">
        <f>IFERROR(INDEX('I2019'!F$5:F$112,MATCH($C171,'I2019'!$A$5:$A$112,0)),"")</f>
        <v>156619.21999999997</v>
      </c>
      <c r="BE171" s="24">
        <f>IFERROR(INDEX('I2019'!G$5:G$112,MATCH($C171,'I2019'!$A$5:$A$112,0)),"")</f>
        <v>-63457.450000000303</v>
      </c>
      <c r="BF171" s="24">
        <f>IFERROR(INDEX('I2019'!H$5:H$112,MATCH($C171,'I2019'!$A$5:$A$112,0)),"")</f>
        <v>126091.86999999985</v>
      </c>
      <c r="BG171" s="24">
        <f>IFERROR(INDEX('I2019'!I$5:I$112,MATCH($C171,'I2019'!$A$5:$A$112,0)),"")</f>
        <v>-77900.249999999782</v>
      </c>
      <c r="BH171" s="24">
        <f>IFERROR(INDEX('I2019'!J$5:J$112,MATCH($C171,'I2019'!$A$5:$A$112,0)),"")</f>
        <v>-211294.6799999997</v>
      </c>
      <c r="BI171" s="24">
        <f>IFERROR(INDEX('I2019'!K$5:K$112,MATCH($C171,'I2019'!$A$5:$A$112,0)),"")</f>
        <v>204955.36</v>
      </c>
      <c r="BJ171" s="24">
        <f>IFERROR(INDEX('I2019'!L$5:L$112,MATCH($C171,'I2019'!$A$5:$A$112,0)),"")</f>
        <v>-271823.81000000006</v>
      </c>
      <c r="BK171" s="24">
        <f>IFERROR(INDEX('I2019'!M$5:M$112,MATCH($C171,'I2019'!$A$5:$A$112,0)),"")</f>
        <v>-178047.27999999997</v>
      </c>
      <c r="BL171" s="24">
        <f>IFERROR(INDEX('I2020'!B$5:B$113,MATCH($C171,'I2020'!$A$5:$A$113,0)),"")</f>
        <v>274219.01999999973</v>
      </c>
      <c r="BM171" s="24">
        <f>IFERROR(INDEX('I2020'!C$5:C$113,MATCH($C171,'I2020'!$A$5:$A$113,0)),"")</f>
        <v>-55020.980000000127</v>
      </c>
      <c r="BN171" s="24">
        <f>IFERROR(INDEX('I2020'!D$5:D$113,MATCH($C171,'I2020'!$A$5:$A$113,0)),"")</f>
        <v>474367.57000000036</v>
      </c>
      <c r="BO171" s="24">
        <f>IFERROR(INDEX('I2020'!E$5:E$113,MATCH($C171,'I2020'!$A$5:$A$113,0)),"")</f>
        <v>549247.01999999979</v>
      </c>
      <c r="BP171" s="24">
        <f>IFERROR(INDEX('I2020'!F$5:F$113,MATCH($C171,'I2020'!$A$5:$A$113,0)),"")</f>
        <v>435919.28999999963</v>
      </c>
      <c r="BQ171" s="399">
        <f>IFERROR(INDEX('I2020'!G$5:G$113,MATCH($C171,'I2020'!$A$5:$A$113,0)),"")</f>
        <v>697319.72999999986</v>
      </c>
      <c r="BR171" s="155">
        <f t="shared" ref="BQ171:CI171" si="114">BR153+BR170</f>
        <v>191137.51034834387</v>
      </c>
      <c r="BS171" s="155">
        <f t="shared" si="114"/>
        <v>176147.07313344011</v>
      </c>
      <c r="BT171" s="155">
        <f t="shared" si="114"/>
        <v>166232.53775049318</v>
      </c>
      <c r="BU171" s="155">
        <f t="shared" si="114"/>
        <v>159434.99385551733</v>
      </c>
      <c r="BV171" s="155">
        <f t="shared" si="114"/>
        <v>155944.66768446422</v>
      </c>
      <c r="BW171" s="155">
        <f t="shared" si="114"/>
        <v>154758.84416139871</v>
      </c>
      <c r="BX171" s="155">
        <f t="shared" si="114"/>
        <v>171437.26608109669</v>
      </c>
      <c r="BY171" s="155">
        <f t="shared" si="114"/>
        <v>185383.31543672088</v>
      </c>
      <c r="BZ171" s="155">
        <f t="shared" si="114"/>
        <v>198226.05644840933</v>
      </c>
      <c r="CA171" s="155">
        <f t="shared" si="114"/>
        <v>208318.96799088916</v>
      </c>
      <c r="CB171" s="155">
        <f t="shared" si="114"/>
        <v>217551.5804947679</v>
      </c>
      <c r="CC171" s="155">
        <f t="shared" si="114"/>
        <v>226691.94157447974</v>
      </c>
      <c r="CD171" s="155">
        <f t="shared" si="114"/>
        <v>234397.75584545481</v>
      </c>
      <c r="CE171" s="155">
        <f t="shared" si="114"/>
        <v>241052.80048161765</v>
      </c>
      <c r="CF171" s="155">
        <f t="shared" si="114"/>
        <v>247232.59332095302</v>
      </c>
      <c r="CG171" s="155">
        <f t="shared" si="114"/>
        <v>253005.28453752771</v>
      </c>
      <c r="CH171" s="155">
        <f t="shared" si="114"/>
        <v>258508.91916783177</v>
      </c>
      <c r="CI171" s="156">
        <f t="shared" si="114"/>
        <v>263798.43907391123</v>
      </c>
      <c r="CJ171" s="135"/>
    </row>
    <row r="172" spans="1:88" x14ac:dyDescent="0.3">
      <c r="A172" s="33"/>
      <c r="B172" s="140"/>
      <c r="C172" s="21"/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  <c r="BL172" s="44"/>
      <c r="BM172" s="44"/>
      <c r="BN172" s="44"/>
      <c r="BO172" s="44"/>
      <c r="BP172" s="44"/>
      <c r="BQ172" s="377"/>
      <c r="BR172" s="64"/>
      <c r="BS172" s="64"/>
      <c r="BT172" s="64"/>
      <c r="BU172" s="64"/>
      <c r="BV172" s="64"/>
      <c r="BW172" s="64"/>
      <c r="BX172" s="64"/>
      <c r="BY172" s="64"/>
      <c r="BZ172" s="64"/>
      <c r="CA172" s="64"/>
      <c r="CB172" s="64"/>
      <c r="CC172" s="64"/>
      <c r="CD172" s="64"/>
      <c r="CE172" s="64"/>
      <c r="CF172" s="64"/>
      <c r="CG172" s="64"/>
      <c r="CH172" s="64"/>
      <c r="CI172" s="124"/>
      <c r="CJ172" s="134"/>
    </row>
    <row r="173" spans="1:88" x14ac:dyDescent="0.3">
      <c r="A173" s="33"/>
      <c r="B173" s="68"/>
      <c r="C173" s="83" t="s">
        <v>449</v>
      </c>
      <c r="D173" s="128" t="str">
        <f>IFERROR(INDEX('I2015'!B$5:B$73,MATCH($C173,'I2015'!$A$5:$A$73,0)),"")</f>
        <v/>
      </c>
      <c r="E173" s="128" t="str">
        <f>IFERROR(INDEX('I2015'!C$5:C$73,MATCH($C173,'I2015'!$A$5:$A$73,0)),"")</f>
        <v/>
      </c>
      <c r="F173" s="128" t="str">
        <f>IFERROR(INDEX('I2015'!D$5:D$73,MATCH($C173,'I2015'!$A$5:$A$73,0)),"")</f>
        <v/>
      </c>
      <c r="G173" s="128" t="str">
        <f>IFERROR(INDEX('I2015'!E$5:E$73,MATCH($C173,'I2015'!$A$5:$A$73,0)),"")</f>
        <v/>
      </c>
      <c r="H173" s="128" t="str">
        <f>IFERROR(INDEX('I2015'!F$5:F$73,MATCH($C173,'I2015'!$A$5:$A$73,0)),"")</f>
        <v/>
      </c>
      <c r="I173" s="128" t="str">
        <f>IFERROR(INDEX('I2015'!G$5:G$73,MATCH($C173,'I2015'!$A$5:$A$73,0)),"")</f>
        <v/>
      </c>
      <c r="J173" s="128" t="str">
        <f>IFERROR(INDEX('I2015'!H$5:H$73,MATCH($C173,'I2015'!$A$5:$A$73,0)),"")</f>
        <v/>
      </c>
      <c r="K173" s="128" t="str">
        <f>IFERROR(INDEX('I2015'!I$5:I$73,MATCH($C173,'I2015'!$A$5:$A$73,0)),"")</f>
        <v/>
      </c>
      <c r="L173" s="128" t="str">
        <f>IFERROR(INDEX('I2015'!J$5:J$73,MATCH($C173,'I2015'!$A$5:$A$73,0)),"")</f>
        <v/>
      </c>
      <c r="M173" s="128" t="str">
        <f>IFERROR(INDEX('I2015'!K$5:K$73,MATCH($C173,'I2015'!$A$5:$A$73,0)),"")</f>
        <v/>
      </c>
      <c r="N173" s="128" t="str">
        <f>IFERROR(INDEX('I2015'!L$5:L$73,MATCH($C173,'I2015'!$A$5:$A$73,0)),"")</f>
        <v/>
      </c>
      <c r="O173" s="128" t="str">
        <f>IFERROR(INDEX('I2015'!M$5:M$73,MATCH($C173,'I2015'!$A$5:$A$73,0)),"")</f>
        <v/>
      </c>
      <c r="P173" s="128" t="str">
        <f>IFERROR(INDEX('I2016'!B$5:B$90,MATCH($C173,'I2016'!$A$5:$A$90,0)),"")</f>
        <v/>
      </c>
      <c r="Q173" s="128" t="str">
        <f>IFERROR(INDEX('I2016'!C$5:C$90,MATCH($C173,'I2016'!$A$5:$A$90,0)),"")</f>
        <v/>
      </c>
      <c r="R173" s="128" t="str">
        <f>IFERROR(INDEX('I2016'!D$5:D$90,MATCH($C173,'I2016'!$A$5:$A$90,0)),"")</f>
        <v/>
      </c>
      <c r="S173" s="128" t="str">
        <f>IFERROR(INDEX('I2016'!E$5:E$90,MATCH($C173,'I2016'!$A$5:$A$90,0)),"")</f>
        <v/>
      </c>
      <c r="T173" s="128" t="str">
        <f>IFERROR(INDEX('I2016'!F$5:F$90,MATCH($C173,'I2016'!$A$5:$A$90,0)),"")</f>
        <v/>
      </c>
      <c r="U173" s="128" t="str">
        <f>IFERROR(INDEX('I2016'!G$5:G$90,MATCH($C173,'I2016'!$A$5:$A$90,0)),"")</f>
        <v/>
      </c>
      <c r="V173" s="128" t="str">
        <f>IFERROR(INDEX('I2016'!H$5:H$90,MATCH($C173,'I2016'!$A$5:$A$90,0)),"")</f>
        <v/>
      </c>
      <c r="W173" s="128" t="str">
        <f>IFERROR(INDEX('I2016'!I$5:I$90,MATCH($C173,'I2016'!$A$5:$A$90,0)),"")</f>
        <v/>
      </c>
      <c r="X173" s="128" t="str">
        <f>IFERROR(INDEX('I2016'!J$5:J$90,MATCH($C173,'I2016'!$A$5:$A$90,0)),"")</f>
        <v/>
      </c>
      <c r="Y173" s="128" t="str">
        <f>IFERROR(INDEX('I2016'!K$5:K$90,MATCH($C173,'I2016'!$A$5:$A$90,0)),"")</f>
        <v/>
      </c>
      <c r="Z173" s="128" t="str">
        <f>IFERROR(INDEX('I2016'!L$5:L$90,MATCH($C173,'I2016'!$A$5:$A$90,0)),"")</f>
        <v/>
      </c>
      <c r="AA173" s="128" t="str">
        <f>IFERROR(INDEX('I2016'!M$5:M$90,MATCH($C173,'I2016'!$A$5:$A$90,0)),"")</f>
        <v/>
      </c>
      <c r="AB173" s="128" t="str">
        <f>IFERROR(INDEX('I2017'!B$5:B$96,MATCH($C173,'I2017'!$A$5:$A$96,0)),"")</f>
        <v/>
      </c>
      <c r="AC173" s="128" t="str">
        <f>IFERROR(INDEX('I2017'!C$5:C$96,MATCH($C173,'I2017'!$A$5:$A$96,0)),"")</f>
        <v/>
      </c>
      <c r="AD173" s="128" t="str">
        <f>IFERROR(INDEX('I2017'!D$5:D$96,MATCH($C173,'I2017'!$A$5:$A$96,0)),"")</f>
        <v/>
      </c>
      <c r="AE173" s="128" t="str">
        <f>IFERROR(INDEX('I2017'!E$5:E$96,MATCH($C173,'I2017'!$A$5:$A$96,0)),"")</f>
        <v/>
      </c>
      <c r="AF173" s="128" t="str">
        <f>IFERROR(INDEX('I2017'!F$5:F$96,MATCH($C173,'I2017'!$A$5:$A$96,0)),"")</f>
        <v/>
      </c>
      <c r="AG173" s="128" t="str">
        <f>IFERROR(INDEX('I2017'!G$5:G$96,MATCH($C173,'I2017'!$A$5:$A$96,0)),"")</f>
        <v/>
      </c>
      <c r="AH173" s="128" t="str">
        <f>IFERROR(INDEX('I2017'!H$5:H$96,MATCH($C173,'I2017'!$A$5:$A$96,0)),"")</f>
        <v/>
      </c>
      <c r="AI173" s="128" t="str">
        <f>IFERROR(INDEX('I2017'!I$5:I$96,MATCH($C173,'I2017'!$A$5:$A$96,0)),"")</f>
        <v/>
      </c>
      <c r="AJ173" s="128" t="str">
        <f>IFERROR(INDEX('I2017'!J$5:J$96,MATCH($C173,'I2017'!$A$5:$A$96,0)),"")</f>
        <v/>
      </c>
      <c r="AK173" s="128" t="str">
        <f>IFERROR(INDEX('I2017'!K$5:K$96,MATCH($C173,'I2017'!$A$5:$A$96,0)),"")</f>
        <v/>
      </c>
      <c r="AL173" s="128" t="str">
        <f>IFERROR(INDEX('I2017'!L$5:L$96,MATCH($C173,'I2017'!$A$5:$A$96,0)),"")</f>
        <v/>
      </c>
      <c r="AM173" s="128" t="str">
        <f>IFERROR(INDEX('I2017'!M$5:M$96,MATCH($C173,'I2017'!$A$5:$A$96,0)),"")</f>
        <v/>
      </c>
      <c r="AN173" s="128" t="str">
        <f>IFERROR(INDEX('I2018'!B$5:B$107,MATCH($C173,'I2018'!$A$5:$A$107,0)),"")</f>
        <v/>
      </c>
      <c r="AO173" s="128" t="str">
        <f>IFERROR(INDEX('I2018'!C$5:C$107,MATCH($C173,'I2018'!$A$5:$A$107,0)),"")</f>
        <v/>
      </c>
      <c r="AP173" s="128" t="str">
        <f>IFERROR(INDEX('I2018'!D$5:D$107,MATCH($C173,'I2018'!$A$5:$A$107,0)),"")</f>
        <v/>
      </c>
      <c r="AQ173" s="128" t="str">
        <f>IFERROR(INDEX('I2018'!E$5:E$107,MATCH($C173,'I2018'!$A$5:$A$107,0)),"")</f>
        <v/>
      </c>
      <c r="AR173" s="128" t="str">
        <f>IFERROR(INDEX('I2018'!F$5:F$107,MATCH($C173,'I2018'!$A$5:$A$107,0)),"")</f>
        <v/>
      </c>
      <c r="AS173" s="128" t="str">
        <f>IFERROR(INDEX('I2018'!G$5:G$107,MATCH($C173,'I2018'!$A$5:$A$107,0)),"")</f>
        <v/>
      </c>
      <c r="AT173" s="128" t="str">
        <f>IFERROR(INDEX('I2018'!H$5:H$107,MATCH($C173,'I2018'!$A$5:$A$107,0)),"")</f>
        <v/>
      </c>
      <c r="AU173" s="128" t="str">
        <f>IFERROR(INDEX('I2018'!I$5:I$107,MATCH($C173,'I2018'!$A$5:$A$107,0)),"")</f>
        <v/>
      </c>
      <c r="AV173" s="128" t="str">
        <f>IFERROR(INDEX('I2018'!J$5:J$107,MATCH($C173,'I2018'!$A$5:$A$107,0)),"")</f>
        <v/>
      </c>
      <c r="AW173" s="128" t="str">
        <f>IFERROR(INDEX('I2018'!K$5:K$107,MATCH($C173,'I2018'!$A$5:$A$107,0)),"")</f>
        <v/>
      </c>
      <c r="AX173" s="128" t="str">
        <f>IFERROR(INDEX('I2018'!L$5:L$107,MATCH($C173,'I2018'!$A$5:$A$107,0)),"")</f>
        <v/>
      </c>
      <c r="AY173" s="128" t="str">
        <f>IFERROR(INDEX('I2018'!M$5:M$107,MATCH($C173,'I2018'!$A$5:$A$107,0)),"")</f>
        <v/>
      </c>
      <c r="AZ173" s="128" t="str">
        <f>IFERROR(INDEX('I2019'!B$5:B$112,MATCH($C173,'I2019'!$A$5:$A$112,0)),"")</f>
        <v/>
      </c>
      <c r="BA173" s="128" t="str">
        <f>IFERROR(INDEX('I2019'!C$5:C$112,MATCH($C173,'I2019'!$A$5:$A$112,0)),"")</f>
        <v/>
      </c>
      <c r="BB173" s="128" t="str">
        <f>IFERROR(INDEX('I2019'!D$5:D$112,MATCH($C173,'I2019'!$A$5:$A$112,0)),"")</f>
        <v/>
      </c>
      <c r="BC173" s="128" t="str">
        <f>IFERROR(INDEX('I2019'!E$5:E$112,MATCH($C173,'I2019'!$A$5:$A$112,0)),"")</f>
        <v/>
      </c>
      <c r="BD173" s="128" t="str">
        <f>IFERROR(INDEX('I2019'!F$5:F$112,MATCH($C173,'I2019'!$A$5:$A$112,0)),"")</f>
        <v/>
      </c>
      <c r="BE173" s="128" t="str">
        <f>IFERROR(INDEX('I2019'!G$5:G$112,MATCH($C173,'I2019'!$A$5:$A$112,0)),"")</f>
        <v/>
      </c>
      <c r="BF173" s="128" t="str">
        <f>IFERROR(INDEX('I2019'!H$5:H$112,MATCH($C173,'I2019'!$A$5:$A$112,0)),"")</f>
        <v/>
      </c>
      <c r="BG173" s="128" t="str">
        <f>IFERROR(INDEX('I2019'!I$5:I$112,MATCH($C173,'I2019'!$A$5:$A$112,0)),"")</f>
        <v/>
      </c>
      <c r="BH173" s="128" t="str">
        <f>IFERROR(INDEX('I2019'!J$5:J$112,MATCH($C173,'I2019'!$A$5:$A$112,0)),"")</f>
        <v/>
      </c>
      <c r="BI173" s="128" t="str">
        <f>IFERROR(INDEX('I2019'!K$5:K$112,MATCH($C173,'I2019'!$A$5:$A$112,0)),"")</f>
        <v/>
      </c>
      <c r="BJ173" s="128" t="str">
        <f>IFERROR(INDEX('I2019'!L$5:L$112,MATCH($C173,'I2019'!$A$5:$A$112,0)),"")</f>
        <v/>
      </c>
      <c r="BK173" s="128" t="str">
        <f>IFERROR(INDEX('I2019'!M$5:M$112,MATCH($C173,'I2019'!$A$5:$A$112,0)),"")</f>
        <v/>
      </c>
      <c r="BL173" s="128"/>
      <c r="BM173" s="128"/>
      <c r="BN173" s="128"/>
      <c r="BO173" s="128"/>
      <c r="BP173" s="128"/>
      <c r="BQ173" s="400"/>
      <c r="BR173" s="157"/>
      <c r="BS173" s="157"/>
      <c r="BT173" s="157"/>
      <c r="BU173" s="157"/>
      <c r="BV173" s="157"/>
      <c r="BW173" s="157"/>
      <c r="BX173" s="157"/>
      <c r="BY173" s="157"/>
      <c r="BZ173" s="157"/>
      <c r="CA173" s="157"/>
      <c r="CB173" s="157"/>
      <c r="CC173" s="157"/>
      <c r="CD173" s="157"/>
      <c r="CE173" s="157"/>
      <c r="CF173" s="157"/>
      <c r="CG173" s="157"/>
      <c r="CH173" s="157"/>
      <c r="CI173" s="158"/>
      <c r="CJ173" s="269"/>
    </row>
    <row r="174" spans="1:88" ht="17.399999999999999" x14ac:dyDescent="0.3">
      <c r="A174" s="33" t="s">
        <v>453</v>
      </c>
      <c r="B174" s="171">
        <v>0</v>
      </c>
      <c r="C174" s="21" t="s">
        <v>404</v>
      </c>
      <c r="D174" s="142">
        <f>INDEX('C2015'!B$5:B$40,MATCH($C174,'C2015'!$A$5:$A$40,0))</f>
        <v>-2878.62</v>
      </c>
      <c r="E174" s="142">
        <f>INDEX('C2015'!C$5:C$40,MATCH($C174,'C2015'!$A$5:$A$40,0))</f>
        <v>20429.21</v>
      </c>
      <c r="F174" s="142">
        <f>INDEX('C2015'!D$5:D$40,MATCH($C174,'C2015'!$A$5:$A$40,0))</f>
        <v>-4488.7900000000009</v>
      </c>
      <c r="G174" s="142">
        <f>INDEX('C2015'!E$5:E$40,MATCH($C174,'C2015'!$A$5:$A$40,0))</f>
        <v>733.45000000000073</v>
      </c>
      <c r="H174" s="142">
        <f>INDEX('C2015'!F$5:F$40,MATCH($C174,'C2015'!$A$5:$A$40,0))</f>
        <v>22079.71</v>
      </c>
      <c r="I174" s="142">
        <f>INDEX('C2015'!G$5:G$40,MATCH($C174,'C2015'!$A$5:$A$40,0))</f>
        <v>-21293.71</v>
      </c>
      <c r="J174" s="142">
        <f>INDEX('C2015'!H$5:H$40,MATCH($C174,'C2015'!$A$5:$A$40,0))</f>
        <v>-12485.34</v>
      </c>
      <c r="K174" s="142">
        <f>INDEX('C2015'!I$5:I$40,MATCH($C174,'C2015'!$A$5:$A$40,0))</f>
        <v>16379.85</v>
      </c>
      <c r="L174" s="142">
        <f>INDEX('C2015'!J$5:J$40,MATCH($C174,'C2015'!$A$5:$A$40,0))</f>
        <v>-1716.45</v>
      </c>
      <c r="M174" s="142">
        <f>INDEX('C2015'!K$5:K$40,MATCH($C174,'C2015'!$A$5:$A$40,0))</f>
        <v>-3601.5199999999995</v>
      </c>
      <c r="N174" s="142">
        <f>INDEX('C2015'!L$5:L$40,MATCH($C174,'C2015'!$A$5:$A$40,0))</f>
        <v>-940.91999999999962</v>
      </c>
      <c r="O174" s="142">
        <f>INDEX('C2015'!M$5:M$40,MATCH($C174,'C2015'!$A$5:$A$40,0))</f>
        <v>-8030.4600000000009</v>
      </c>
      <c r="P174" s="142">
        <f>INDEX('C2016'!B$5:B$40,MATCH($C174,'C2016'!$A$5:$A$40,0))</f>
        <v>16646.510000000002</v>
      </c>
      <c r="Q174" s="142">
        <f>INDEX('C2016'!C$5:C$40,MATCH($C174,'C2016'!$A$5:$A$40,0))</f>
        <v>1525.8400000000001</v>
      </c>
      <c r="R174" s="142">
        <f>INDEX('C2016'!D$5:D$40,MATCH($C174,'C2016'!$A$5:$A$40,0))</f>
        <v>16845.64</v>
      </c>
      <c r="S174" s="142">
        <f>INDEX('C2016'!E$5:E$40,MATCH($C174,'C2016'!$A$5:$A$40,0))</f>
        <v>86630.75</v>
      </c>
      <c r="T174" s="142">
        <f>INDEX('C2016'!F$5:F$40,MATCH($C174,'C2016'!$A$5:$A$40,0))</f>
        <v>-20585.169999999998</v>
      </c>
      <c r="U174" s="142">
        <f>INDEX('C2016'!G$5:G$40,MATCH($C174,'C2016'!$A$5:$A$40,0))</f>
        <v>2177.5699999999997</v>
      </c>
      <c r="V174" s="142">
        <f>INDEX('C2016'!H$5:H$40,MATCH($C174,'C2016'!$A$5:$A$40,0))</f>
        <v>-18034.12</v>
      </c>
      <c r="W174" s="142">
        <f>INDEX('C2016'!I$5:I$40,MATCH($C174,'C2016'!$A$5:$A$40,0))</f>
        <v>11223.59</v>
      </c>
      <c r="X174" s="142">
        <f>INDEX('C2016'!J$5:J$40,MATCH($C174,'C2016'!$A$5:$A$40,0))</f>
        <v>-23314.350000000002</v>
      </c>
      <c r="Y174" s="142">
        <f>INDEX('C2016'!K$5:K$40,MATCH($C174,'C2016'!$A$5:$A$40,0))</f>
        <v>-7350.0699999999961</v>
      </c>
      <c r="Z174" s="142">
        <f>INDEX('C2016'!L$5:L$40,MATCH($C174,'C2016'!$A$5:$A$40,0))</f>
        <v>-2031.6699999999992</v>
      </c>
      <c r="AA174" s="142">
        <f>INDEX('C2016'!M$5:M$40,MATCH($C174,'C2016'!$A$5:$A$40,0))</f>
        <v>-10021.720000000001</v>
      </c>
      <c r="AB174" s="142">
        <f>INDEX('C2017'!B$5:B$40,MATCH($C174,'C2017'!$A$5:$A$40,0))</f>
        <v>117593.45999999996</v>
      </c>
      <c r="AC174" s="142">
        <f>INDEX('C2017'!C$5:C$40,MATCH($C174,'C2017'!$A$5:$A$40,0))</f>
        <v>-74840.900000000009</v>
      </c>
      <c r="AD174" s="142">
        <f>INDEX('C2017'!D$5:D$40,MATCH($C174,'C2017'!$A$5:$A$40,0))</f>
        <v>20136.810000000001</v>
      </c>
      <c r="AE174" s="142">
        <f>INDEX('C2017'!E$5:E$40,MATCH($C174,'C2017'!$A$5:$A$40,0))</f>
        <v>5017.510000000002</v>
      </c>
      <c r="AF174" s="142">
        <f>INDEX('C2017'!F$5:F$40,MATCH($C174,'C2017'!$A$5:$A$40,0))</f>
        <v>4153.8599999999997</v>
      </c>
      <c r="AG174" s="142">
        <f>INDEX('C2017'!G$5:G$40,MATCH($C174,'C2017'!$A$5:$A$40,0))</f>
        <v>202537.31</v>
      </c>
      <c r="AH174" s="142">
        <f>INDEX('C2017'!H$5:H$40,MATCH($C174,'C2017'!$A$5:$A$40,0))</f>
        <v>129711.45</v>
      </c>
      <c r="AI174" s="142">
        <f>INDEX('C2017'!I$5:I$40,MATCH($C174,'C2017'!$A$5:$A$40,0))</f>
        <v>80466.179999999993</v>
      </c>
      <c r="AJ174" s="142">
        <f>INDEX('C2017'!J$5:J$40,MATCH($C174,'C2017'!$A$5:$A$40,0))</f>
        <v>94418.92</v>
      </c>
      <c r="AK174" s="142">
        <f>INDEX('C2017'!K$5:K$40,MATCH($C174,'C2017'!$A$5:$A$40,0))</f>
        <v>31998.300000000003</v>
      </c>
      <c r="AL174" s="142">
        <f>INDEX('C2017'!L$5:L$40,MATCH($C174,'C2017'!$A$5:$A$40,0))</f>
        <v>-7366.5299999999988</v>
      </c>
      <c r="AM174" s="142">
        <f>INDEX('C2017'!M$5:M$40,MATCH($C174,'C2017'!$A$5:$A$40,0))</f>
        <v>15953.730000000003</v>
      </c>
      <c r="AN174" s="142">
        <f>INDEX('C2018'!B$5:B$40,MATCH($C174,'C2018'!$A$5:$A$40,0))</f>
        <v>-20055.089999999997</v>
      </c>
      <c r="AO174" s="142">
        <f>INDEX('C2018'!C$5:C$40,MATCH($C174,'C2018'!$A$5:$A$40,0))</f>
        <v>-157665.04999999999</v>
      </c>
      <c r="AP174" s="142">
        <f>INDEX('C2018'!D$5:D$40,MATCH($C174,'C2018'!$A$5:$A$40,0))</f>
        <v>-267029.86</v>
      </c>
      <c r="AQ174" s="142">
        <f>INDEX('C2018'!E$5:E$40,MATCH($C174,'C2018'!$A$5:$A$40,0))</f>
        <v>200516.43</v>
      </c>
      <c r="AR174" s="142">
        <f>INDEX('C2018'!F$5:F$40,MATCH($C174,'C2018'!$A$5:$A$40,0))</f>
        <v>169196.81</v>
      </c>
      <c r="AS174" s="142">
        <f>INDEX('C2018'!G$5:G$40,MATCH($C174,'C2018'!$A$5:$A$40,0))</f>
        <v>132727.25999999998</v>
      </c>
      <c r="AT174" s="142">
        <f>INDEX('C2018'!H$5:H$40,MATCH($C174,'C2018'!$A$5:$A$40,0))</f>
        <v>345531.38</v>
      </c>
      <c r="AU174" s="142">
        <f>INDEX('C2018'!I$5:I$40,MATCH($C174,'C2018'!$A$5:$A$40,0))</f>
        <v>326734.8</v>
      </c>
      <c r="AV174" s="142">
        <f>INDEX('C2018'!J$5:J$40,MATCH($C174,'C2018'!$A$5:$A$40,0))</f>
        <v>-242347.50000000003</v>
      </c>
      <c r="AW174" s="142">
        <f>INDEX('C2018'!K$5:K$40,MATCH($C174,'C2018'!$A$5:$A$40,0))</f>
        <v>-612179.78999999992</v>
      </c>
      <c r="AX174" s="142">
        <f>INDEX('C2018'!L$5:L$40,MATCH($C174,'C2018'!$A$5:$A$40,0))</f>
        <v>-19283.530000000028</v>
      </c>
      <c r="AY174" s="142">
        <f>INDEX('C2018'!M$5:M$40,MATCH($C174,'C2018'!$A$5:$A$40,0))</f>
        <v>-142600.65000000005</v>
      </c>
      <c r="AZ174" s="142">
        <f>INDEX('C2019'!B$5:B$40,MATCH($C174,'C2019'!$A$5:$A$40,0))</f>
        <v>294725.46000000002</v>
      </c>
      <c r="BA174" s="142">
        <f>INDEX('C2019'!C$5:C$40,MATCH($C174,'C2019'!$A$5:$A$40,0))</f>
        <v>20734.620000000017</v>
      </c>
      <c r="BB174" s="142">
        <f>INDEX('C2019'!D$5:D$40,MATCH($C174,'C2019'!$A$5:$A$40,0))</f>
        <v>-216694.95</v>
      </c>
      <c r="BC174" s="142">
        <f>INDEX('C2019'!E$5:E$40,MATCH($C174,'C2019'!$A$5:$A$40,0))</f>
        <v>-39281.529999999992</v>
      </c>
      <c r="BD174" s="142">
        <f>INDEX('C2019'!F$5:F$40,MATCH($C174,'C2019'!$A$5:$A$40,0))</f>
        <v>62326.01999999999</v>
      </c>
      <c r="BE174" s="142">
        <f>INDEX('C2019'!G$5:G$40,MATCH($C174,'C2019'!$A$5:$A$40,0))</f>
        <v>-163604.77000000002</v>
      </c>
      <c r="BF174" s="142">
        <f>INDEX('C2019'!H$5:H$40,MATCH($C174,'C2019'!$A$5:$A$40,0))</f>
        <v>47123.599999999991</v>
      </c>
      <c r="BG174" s="142">
        <f>INDEX('C2019'!I$5:I$40,MATCH($C174,'C2019'!$A$5:$A$40,0))</f>
        <v>33878.529999999992</v>
      </c>
      <c r="BH174" s="142">
        <f>INDEX('C2019'!J$5:J$40,MATCH($C174,'C2019'!$A$5:$A$40,0))</f>
        <v>-70273.570000000065</v>
      </c>
      <c r="BI174" s="142">
        <f>INDEX('C2019'!K$5:K$40,MATCH($C174,'C2019'!$A$5:$A$40,0))</f>
        <v>59602.609999999986</v>
      </c>
      <c r="BJ174" s="142">
        <f>INDEX('C2019'!L$5:L$40,MATCH($C174,'C2019'!$A$5:$A$40,0))</f>
        <v>-136214.51</v>
      </c>
      <c r="BK174" s="142">
        <f>INDEX('C2019'!M$5:M$40,MATCH($C174,'C2019'!$A$5:$A$40,0))</f>
        <v>38456.139999999985</v>
      </c>
      <c r="BL174" s="142">
        <f>INDEX('C2020'!B$5:B$40,MATCH($C174,'C2020'!$A$5:$A$40,0))</f>
        <v>-25725.900000000023</v>
      </c>
      <c r="BM174" s="142">
        <f>INDEX('C2020'!C$5:C$40,MATCH($C174,'C2020'!$A$5:$A$40,0))</f>
        <v>-19745.249999999964</v>
      </c>
      <c r="BN174" s="142">
        <f>INDEX('C2020'!D$5:D$40,MATCH($C174,'C2020'!$A$5:$A$40,0))</f>
        <v>578201.68000000005</v>
      </c>
      <c r="BO174" s="142">
        <f>INDEX('C2020'!E$5:E$40,MATCH($C174,'C2020'!$A$5:$A$40,0))</f>
        <v>187296.2</v>
      </c>
      <c r="BP174" s="142">
        <f>INDEX('C2020'!F$5:F$40,MATCH($C174,'C2020'!$A$5:$A$40,0))</f>
        <v>988910.12000000011</v>
      </c>
      <c r="BQ174" s="401">
        <f>INDEX('C2020'!G$5:G$40,MATCH($C174,'C2020'!$A$5:$A$40,0))</f>
        <v>-223648.03000000006</v>
      </c>
      <c r="BR174" s="159">
        <f t="shared" ref="BQ174:CI174" si="115">(BR175+BR180)*(1+$B$174)</f>
        <v>186536.08380490707</v>
      </c>
      <c r="BS174" s="159">
        <f t="shared" si="115"/>
        <v>171481.04080264765</v>
      </c>
      <c r="BT174" s="159">
        <f t="shared" si="115"/>
        <v>161455.72732405365</v>
      </c>
      <c r="BU174" s="159">
        <f t="shared" si="115"/>
        <v>154506.92187885178</v>
      </c>
      <c r="BV174" s="159">
        <f t="shared" si="115"/>
        <v>150829.189049487</v>
      </c>
      <c r="BW174" s="159">
        <f t="shared" si="115"/>
        <v>149423.05893655348</v>
      </c>
      <c r="BX174" s="159">
        <f t="shared" si="115"/>
        <v>165906.58454960413</v>
      </c>
      <c r="BY174" s="159">
        <f t="shared" si="115"/>
        <v>179677.78605963619</v>
      </c>
      <c r="BZ174" s="159">
        <f t="shared" si="115"/>
        <v>192361.43403257258</v>
      </c>
      <c r="CA174" s="159">
        <f t="shared" si="115"/>
        <v>202307.56816033821</v>
      </c>
      <c r="CB174" s="159">
        <f t="shared" si="115"/>
        <v>211402.96320397739</v>
      </c>
      <c r="CC174" s="159">
        <f t="shared" si="115"/>
        <v>220413.45785410234</v>
      </c>
      <c r="CD174" s="159">
        <f t="shared" si="115"/>
        <v>227994.98513309169</v>
      </c>
      <c r="CE174" s="159">
        <f t="shared" si="115"/>
        <v>234529.90041962505</v>
      </c>
      <c r="CF174" s="159">
        <f t="shared" si="115"/>
        <v>240592.57952687531</v>
      </c>
      <c r="CG174" s="159">
        <f t="shared" si="115"/>
        <v>246250.25435161465</v>
      </c>
      <c r="CH174" s="159">
        <f t="shared" si="115"/>
        <v>251640.2305811907</v>
      </c>
      <c r="CI174" s="160">
        <f t="shared" si="115"/>
        <v>256816.85380011905</v>
      </c>
      <c r="CJ174" s="135"/>
    </row>
    <row r="175" spans="1:88" x14ac:dyDescent="0.3">
      <c r="A175" s="33"/>
      <c r="B175" s="145"/>
      <c r="C175" s="21" t="s">
        <v>451</v>
      </c>
      <c r="D175" s="143">
        <f>D171</f>
        <v>255.27000000000058</v>
      </c>
      <c r="E175" s="143">
        <f t="shared" ref="E175:BL175" si="116">E171</f>
        <v>-8683.4200000000019</v>
      </c>
      <c r="F175" s="143">
        <f t="shared" si="116"/>
        <v>-16881.989999999998</v>
      </c>
      <c r="G175" s="143">
        <f t="shared" si="116"/>
        <v>-12713.960000000003</v>
      </c>
      <c r="H175" s="143">
        <f t="shared" si="116"/>
        <v>-3126.13</v>
      </c>
      <c r="I175" s="143">
        <f t="shared" si="116"/>
        <v>-25244.140000000007</v>
      </c>
      <c r="J175" s="143">
        <f t="shared" si="116"/>
        <v>-10544.400000000005</v>
      </c>
      <c r="K175" s="143">
        <f t="shared" si="116"/>
        <v>-8361.7200000000012</v>
      </c>
      <c r="L175" s="143">
        <f t="shared" si="116"/>
        <v>1061.7200000000043</v>
      </c>
      <c r="M175" s="143">
        <f t="shared" si="116"/>
        <v>-1450.5799999999995</v>
      </c>
      <c r="N175" s="143">
        <f t="shared" si="116"/>
        <v>-3575.5799999999954</v>
      </c>
      <c r="O175" s="143">
        <f t="shared" si="116"/>
        <v>-3058.7399999999984</v>
      </c>
      <c r="P175" s="143">
        <f t="shared" si="116"/>
        <v>-22021.050000000003</v>
      </c>
      <c r="Q175" s="143">
        <f t="shared" si="116"/>
        <v>8211.0499999999993</v>
      </c>
      <c r="R175" s="143">
        <f t="shared" si="116"/>
        <v>19393.740000000002</v>
      </c>
      <c r="S175" s="143">
        <f t="shared" si="116"/>
        <v>8275.8300000000127</v>
      </c>
      <c r="T175" s="143">
        <f t="shared" si="116"/>
        <v>-11705.959999999988</v>
      </c>
      <c r="U175" s="143">
        <f t="shared" si="116"/>
        <v>13202.199999999984</v>
      </c>
      <c r="V175" s="143">
        <f t="shared" si="116"/>
        <v>-522.35999999997216</v>
      </c>
      <c r="W175" s="143">
        <f t="shared" si="116"/>
        <v>-2172.4200000000255</v>
      </c>
      <c r="X175" s="143">
        <f t="shared" si="116"/>
        <v>-22189.879999999983</v>
      </c>
      <c r="Y175" s="143">
        <f t="shared" si="116"/>
        <v>-29280.010000000009</v>
      </c>
      <c r="Z175" s="143">
        <f t="shared" si="116"/>
        <v>3025.5400000000009</v>
      </c>
      <c r="AA175" s="143">
        <f t="shared" si="116"/>
        <v>7357.5399999999772</v>
      </c>
      <c r="AB175" s="143">
        <f t="shared" si="116"/>
        <v>-47833.049999999988</v>
      </c>
      <c r="AC175" s="143">
        <f t="shared" si="116"/>
        <v>-28274.819999999996</v>
      </c>
      <c r="AD175" s="143">
        <f t="shared" si="116"/>
        <v>-3610.8800000000097</v>
      </c>
      <c r="AE175" s="143">
        <f t="shared" si="116"/>
        <v>-33102.840000000004</v>
      </c>
      <c r="AF175" s="143">
        <f t="shared" si="116"/>
        <v>4176.3799999999974</v>
      </c>
      <c r="AG175" s="143">
        <f t="shared" si="116"/>
        <v>17105.400000000009</v>
      </c>
      <c r="AH175" s="143">
        <f t="shared" si="116"/>
        <v>-16171.479999999996</v>
      </c>
      <c r="AI175" s="143">
        <f t="shared" si="116"/>
        <v>4728.6000000000313</v>
      </c>
      <c r="AJ175" s="143">
        <f t="shared" si="116"/>
        <v>-22379.620000000043</v>
      </c>
      <c r="AK175" s="143">
        <f t="shared" si="116"/>
        <v>-64443.489999999991</v>
      </c>
      <c r="AL175" s="143">
        <f t="shared" si="116"/>
        <v>4665.3000000000093</v>
      </c>
      <c r="AM175" s="143">
        <f t="shared" si="116"/>
        <v>-36773.249999999993</v>
      </c>
      <c r="AN175" s="143">
        <f t="shared" si="116"/>
        <v>-26086.459999999955</v>
      </c>
      <c r="AO175" s="143">
        <f t="shared" si="116"/>
        <v>-122278.78000000003</v>
      </c>
      <c r="AP175" s="143">
        <f t="shared" si="116"/>
        <v>-242423.36999999988</v>
      </c>
      <c r="AQ175" s="143">
        <f t="shared" si="116"/>
        <v>210800.75</v>
      </c>
      <c r="AR175" s="143">
        <f t="shared" si="116"/>
        <v>109908.56999999993</v>
      </c>
      <c r="AS175" s="143">
        <f t="shared" si="116"/>
        <v>-118149.56999999995</v>
      </c>
      <c r="AT175" s="143">
        <f t="shared" si="116"/>
        <v>-14706.86000000015</v>
      </c>
      <c r="AU175" s="143">
        <f t="shared" si="116"/>
        <v>146446.62000000008</v>
      </c>
      <c r="AV175" s="143">
        <f t="shared" si="116"/>
        <v>-253293.95000000004</v>
      </c>
      <c r="AW175" s="143">
        <f t="shared" si="116"/>
        <v>-232624.20999999993</v>
      </c>
      <c r="AX175" s="143">
        <f t="shared" si="116"/>
        <v>-114816.81000000001</v>
      </c>
      <c r="AY175" s="143">
        <f t="shared" si="116"/>
        <v>-197118.38</v>
      </c>
      <c r="AZ175" s="143">
        <f t="shared" si="116"/>
        <v>105667.18999999983</v>
      </c>
      <c r="BA175" s="143">
        <f t="shared" si="116"/>
        <v>4811.7799999997624</v>
      </c>
      <c r="BB175" s="143">
        <f t="shared" si="116"/>
        <v>53489.640000000087</v>
      </c>
      <c r="BC175" s="143">
        <f t="shared" si="116"/>
        <v>14403.099999999651</v>
      </c>
      <c r="BD175" s="143">
        <f t="shared" si="116"/>
        <v>156619.21999999997</v>
      </c>
      <c r="BE175" s="143">
        <f t="shared" si="116"/>
        <v>-63457.450000000303</v>
      </c>
      <c r="BF175" s="143">
        <f t="shared" si="116"/>
        <v>126091.86999999985</v>
      </c>
      <c r="BG175" s="143">
        <f t="shared" si="116"/>
        <v>-77900.249999999782</v>
      </c>
      <c r="BH175" s="143">
        <f t="shared" si="116"/>
        <v>-211294.6799999997</v>
      </c>
      <c r="BI175" s="143">
        <f t="shared" si="116"/>
        <v>204955.36</v>
      </c>
      <c r="BJ175" s="143">
        <f t="shared" si="116"/>
        <v>-271823.81000000006</v>
      </c>
      <c r="BK175" s="143">
        <f t="shared" si="116"/>
        <v>-178047.27999999997</v>
      </c>
      <c r="BL175" s="143">
        <f t="shared" si="116"/>
        <v>274219.01999999973</v>
      </c>
      <c r="BM175" s="143">
        <f t="shared" ref="BM175:BP175" si="117">BM171</f>
        <v>-55020.980000000127</v>
      </c>
      <c r="BN175" s="143">
        <f t="shared" si="117"/>
        <v>474367.57000000036</v>
      </c>
      <c r="BO175" s="143">
        <f t="shared" si="117"/>
        <v>549247.01999999979</v>
      </c>
      <c r="BP175" s="143">
        <f t="shared" si="117"/>
        <v>435919.28999999963</v>
      </c>
      <c r="BQ175" s="402">
        <f t="shared" ref="BQ175" si="118">BQ171</f>
        <v>697319.72999999986</v>
      </c>
      <c r="BR175" s="58">
        <f t="shared" ref="BQ175:CI175" si="119">BR171</f>
        <v>191137.51034834387</v>
      </c>
      <c r="BS175" s="58">
        <f t="shared" si="119"/>
        <v>176147.07313344011</v>
      </c>
      <c r="BT175" s="58">
        <f t="shared" si="119"/>
        <v>166232.53775049318</v>
      </c>
      <c r="BU175" s="58">
        <f t="shared" si="119"/>
        <v>159434.99385551733</v>
      </c>
      <c r="BV175" s="58">
        <f t="shared" si="119"/>
        <v>155944.66768446422</v>
      </c>
      <c r="BW175" s="58">
        <f t="shared" si="119"/>
        <v>154758.84416139871</v>
      </c>
      <c r="BX175" s="58">
        <f t="shared" si="119"/>
        <v>171437.26608109669</v>
      </c>
      <c r="BY175" s="58">
        <f t="shared" si="119"/>
        <v>185383.31543672088</v>
      </c>
      <c r="BZ175" s="58">
        <f t="shared" si="119"/>
        <v>198226.05644840933</v>
      </c>
      <c r="CA175" s="58">
        <f t="shared" si="119"/>
        <v>208318.96799088916</v>
      </c>
      <c r="CB175" s="58">
        <f t="shared" si="119"/>
        <v>217551.5804947679</v>
      </c>
      <c r="CC175" s="58">
        <f t="shared" si="119"/>
        <v>226691.94157447974</v>
      </c>
      <c r="CD175" s="58">
        <f t="shared" si="119"/>
        <v>234397.75584545481</v>
      </c>
      <c r="CE175" s="58">
        <f t="shared" si="119"/>
        <v>241052.80048161765</v>
      </c>
      <c r="CF175" s="58">
        <f t="shared" si="119"/>
        <v>247232.59332095302</v>
      </c>
      <c r="CG175" s="58">
        <f t="shared" si="119"/>
        <v>253005.28453752771</v>
      </c>
      <c r="CH175" s="58">
        <f t="shared" si="119"/>
        <v>258508.91916783177</v>
      </c>
      <c r="CI175" s="121">
        <f t="shared" si="119"/>
        <v>263798.43907391123</v>
      </c>
      <c r="CJ175" s="135"/>
    </row>
    <row r="176" spans="1:88" x14ac:dyDescent="0.3">
      <c r="A176" s="33" t="s">
        <v>487</v>
      </c>
      <c r="B176" s="146">
        <v>1000000</v>
      </c>
      <c r="C176" s="21" t="s">
        <v>450</v>
      </c>
      <c r="D176" s="78"/>
      <c r="E176" s="78"/>
      <c r="F176" s="78"/>
      <c r="G176" s="78"/>
      <c r="H176" s="78"/>
      <c r="I176" s="78"/>
      <c r="J176" s="78"/>
      <c r="K176" s="78"/>
      <c r="L176" s="78"/>
      <c r="M176" s="78"/>
      <c r="N176" s="78"/>
      <c r="O176" s="78"/>
      <c r="P176" s="78"/>
      <c r="Q176" s="78"/>
      <c r="R176" s="78"/>
      <c r="S176" s="78"/>
      <c r="T176" s="78"/>
      <c r="U176" s="78"/>
      <c r="V176" s="78"/>
      <c r="W176" s="78"/>
      <c r="X176" s="78"/>
      <c r="Y176" s="78"/>
      <c r="Z176" s="78"/>
      <c r="AA176" s="78"/>
      <c r="AB176" s="78"/>
      <c r="AC176" s="78"/>
      <c r="AD176" s="78"/>
      <c r="AE176" s="78"/>
      <c r="AF176" s="78"/>
      <c r="AG176" s="78"/>
      <c r="AH176" s="78"/>
      <c r="AI176" s="78"/>
      <c r="AJ176" s="78"/>
      <c r="AK176" s="78"/>
      <c r="AL176" s="78"/>
      <c r="AM176" s="78"/>
      <c r="AN176" s="78"/>
      <c r="AO176" s="78"/>
      <c r="AP176" s="78"/>
      <c r="AQ176" s="78"/>
      <c r="AR176" s="78"/>
      <c r="AS176" s="78"/>
      <c r="AT176" s="78"/>
      <c r="AU176" s="78"/>
      <c r="AV176" s="78"/>
      <c r="AW176" s="78"/>
      <c r="AX176" s="78"/>
      <c r="AY176" s="78"/>
      <c r="AZ176" s="78"/>
      <c r="BA176" s="78"/>
      <c r="BB176" s="78"/>
      <c r="BC176" s="78"/>
      <c r="BD176" s="78"/>
      <c r="BE176" s="78"/>
      <c r="BF176" s="78"/>
      <c r="BG176" s="78"/>
      <c r="BH176" s="78"/>
      <c r="BI176" s="78"/>
      <c r="BJ176" s="78"/>
      <c r="BK176" s="78"/>
      <c r="BL176" s="78"/>
      <c r="BM176" s="78"/>
      <c r="BN176" s="78"/>
      <c r="BO176" s="78"/>
      <c r="BP176" s="78"/>
      <c r="BQ176" s="398"/>
      <c r="BR176" s="153"/>
      <c r="BS176" s="153"/>
      <c r="BT176" s="153"/>
      <c r="BU176" s="153"/>
      <c r="BV176" s="153"/>
      <c r="BW176" s="153"/>
      <c r="BX176" s="153"/>
      <c r="BY176" s="153"/>
      <c r="BZ176" s="153"/>
      <c r="CA176" s="153"/>
      <c r="CB176" s="153"/>
      <c r="CC176" s="153"/>
      <c r="CD176" s="153"/>
      <c r="CE176" s="153"/>
      <c r="CF176" s="153"/>
      <c r="CG176" s="153"/>
      <c r="CH176" s="153"/>
      <c r="CI176" s="154"/>
      <c r="CJ176" s="135"/>
    </row>
    <row r="177" spans="1:88" x14ac:dyDescent="0.3">
      <c r="A177" s="33"/>
      <c r="B177" s="140"/>
      <c r="C177" s="5" t="s">
        <v>348</v>
      </c>
      <c r="D177" s="141">
        <f>INDEX('B2015'!B$5:B$32,MATCH($C177,'B2015'!$A$5:$A$32,0))</f>
        <v>8249.52</v>
      </c>
      <c r="E177" s="141">
        <f>INDEX('B2015'!C$5:C$32,MATCH($C177,'B2015'!$A$5:$A$32,0))</f>
        <v>28678.73</v>
      </c>
      <c r="F177" s="141">
        <f>INDEX('B2015'!D$5:D$32,MATCH($C177,'B2015'!$A$5:$A$32,0))</f>
        <v>24189.940000000002</v>
      </c>
      <c r="G177" s="141">
        <f>INDEX('B2015'!E$5:E$32,MATCH($C177,'B2015'!$A$5:$A$32,0))</f>
        <v>24923.39</v>
      </c>
      <c r="H177" s="141">
        <f>INDEX('B2015'!F$5:F$32,MATCH($C177,'B2015'!$A$5:$A$32,0))</f>
        <v>47003.1</v>
      </c>
      <c r="I177" s="141">
        <f>INDEX('B2015'!G$5:G$32,MATCH($C177,'B2015'!$A$5:$A$32,0))</f>
        <v>25709.39</v>
      </c>
      <c r="J177" s="141">
        <f>INDEX('B2015'!H$5:H$32,MATCH($C177,'B2015'!$A$5:$A$32,0))</f>
        <v>13224.05</v>
      </c>
      <c r="K177" s="141">
        <f>INDEX('B2015'!I$5:I$32,MATCH($C177,'B2015'!$A$5:$A$32,0))</f>
        <v>29603.9</v>
      </c>
      <c r="L177" s="141">
        <f>INDEX('B2015'!J$5:J$32,MATCH($C177,'B2015'!$A$5:$A$32,0))</f>
        <v>27887.449999999997</v>
      </c>
      <c r="M177" s="141">
        <f>INDEX('B2015'!K$5:K$32,MATCH($C177,'B2015'!$A$5:$A$32,0))</f>
        <v>24285.929999999997</v>
      </c>
      <c r="N177" s="141">
        <f>INDEX('B2015'!L$5:L$32,MATCH($C177,'B2015'!$A$5:$A$32,0))</f>
        <v>23345.01</v>
      </c>
      <c r="O177" s="141">
        <f>INDEX('B2015'!M$5:M$32,MATCH($C177,'B2015'!$A$5:$A$32,0))</f>
        <v>15314.55</v>
      </c>
      <c r="P177" s="141">
        <f>INDEX('B2016'!B$5:B$32,MATCH($C177,'B2016'!$A$5:$A$32,0))</f>
        <v>31961.059999999998</v>
      </c>
      <c r="Q177" s="141">
        <f>INDEX('B2016'!C$5:C$32,MATCH($C177,'B2016'!$A$5:$A$32,0))</f>
        <v>33486.899999999994</v>
      </c>
      <c r="R177" s="141">
        <f>INDEX('B2016'!D$5:D$32,MATCH($C177,'B2016'!$A$5:$A$32,0))</f>
        <v>50332.539999999994</v>
      </c>
      <c r="S177" s="141">
        <f>INDEX('B2016'!E$5:E$32,MATCH($C177,'B2016'!$A$5:$A$32,0))</f>
        <v>136963.29</v>
      </c>
      <c r="T177" s="141">
        <f>INDEX('B2016'!F$5:F$32,MATCH($C177,'B2016'!$A$5:$A$32,0))</f>
        <v>116378.12000000001</v>
      </c>
      <c r="U177" s="141">
        <f>INDEX('B2016'!G$5:G$32,MATCH($C177,'B2016'!$A$5:$A$32,0))</f>
        <v>118555.68999999999</v>
      </c>
      <c r="V177" s="141">
        <f>INDEX('B2016'!H$5:H$32,MATCH($C177,'B2016'!$A$5:$A$32,0))</f>
        <v>100521.57</v>
      </c>
      <c r="W177" s="141">
        <f>INDEX('B2016'!I$5:I$32,MATCH($C177,'B2016'!$A$5:$A$32,0))</f>
        <v>111745.16</v>
      </c>
      <c r="X177" s="141">
        <f>INDEX('B2016'!J$5:J$32,MATCH($C177,'B2016'!$A$5:$A$32,0))</f>
        <v>88430.81</v>
      </c>
      <c r="Y177" s="141">
        <f>INDEX('B2016'!K$5:K$32,MATCH($C177,'B2016'!$A$5:$A$32,0))</f>
        <v>81080.739999999991</v>
      </c>
      <c r="Z177" s="141">
        <f>INDEX('B2016'!L$5:L$32,MATCH($C177,'B2016'!$A$5:$A$32,0))</f>
        <v>79049.070000000007</v>
      </c>
      <c r="AA177" s="141">
        <f>INDEX('B2016'!M$5:M$32,MATCH($C177,'B2016'!$A$5:$A$32,0))</f>
        <v>69027.350000000006</v>
      </c>
      <c r="AB177" s="141">
        <f>INDEX('B2017'!B$5:B$32,MATCH($C177,'B2017'!$A$5:$A$32,0))</f>
        <v>186620.81</v>
      </c>
      <c r="AC177" s="141">
        <f>INDEX('B2017'!C$5:C$32,MATCH($C177,'B2017'!$A$5:$A$32,0))</f>
        <v>111779.91</v>
      </c>
      <c r="AD177" s="141">
        <f>INDEX('B2017'!D$5:D$32,MATCH($C177,'B2017'!$A$5:$A$32,0))</f>
        <v>131916.72</v>
      </c>
      <c r="AE177" s="141">
        <f>INDEX('B2017'!E$5:E$32,MATCH($C177,'B2017'!$A$5:$A$32,0))</f>
        <v>136934.23000000001</v>
      </c>
      <c r="AF177" s="141">
        <f>INDEX('B2017'!F$5:F$32,MATCH($C177,'B2017'!$A$5:$A$32,0))</f>
        <v>141088.09</v>
      </c>
      <c r="AG177" s="141">
        <f>INDEX('B2017'!G$5:G$32,MATCH($C177,'B2017'!$A$5:$A$32,0))</f>
        <v>343625.4</v>
      </c>
      <c r="AH177" s="141">
        <f>INDEX('B2017'!H$5:H$32,MATCH($C177,'B2017'!$A$5:$A$32,0))</f>
        <v>473336.85</v>
      </c>
      <c r="AI177" s="141">
        <f>INDEX('B2017'!I$5:I$32,MATCH($C177,'B2017'!$A$5:$A$32,0))</f>
        <v>553803.03</v>
      </c>
      <c r="AJ177" s="141">
        <f>INDEX('B2017'!J$5:J$32,MATCH($C177,'B2017'!$A$5:$A$32,0))</f>
        <v>648221.94999999995</v>
      </c>
      <c r="AK177" s="141">
        <f>INDEX('B2017'!K$5:K$32,MATCH($C177,'B2017'!$A$5:$A$32,0))</f>
        <v>680220.25</v>
      </c>
      <c r="AL177" s="141">
        <f>INDEX('B2017'!L$5:L$32,MATCH($C177,'B2017'!$A$5:$A$32,0))</f>
        <v>672853.72</v>
      </c>
      <c r="AM177" s="141">
        <f>INDEX('B2017'!M$5:M$32,MATCH($C177,'B2017'!$A$5:$A$32,0))</f>
        <v>688807.45</v>
      </c>
      <c r="AN177" s="141">
        <f>INDEX('B2018'!B$5:B$32,MATCH($C177,'B2018'!$A$5:$A$32,0))</f>
        <v>668752.3600000001</v>
      </c>
      <c r="AO177" s="141">
        <f>INDEX('B2018'!C$5:C$32,MATCH($C177,'B2018'!$A$5:$A$32,0))</f>
        <v>511087.31</v>
      </c>
      <c r="AP177" s="141">
        <f>INDEX('B2018'!D$5:D$32,MATCH($C177,'B2018'!$A$5:$A$32,0))</f>
        <v>244057.45</v>
      </c>
      <c r="AQ177" s="141">
        <f>INDEX('B2018'!E$5:E$32,MATCH($C177,'B2018'!$A$5:$A$32,0))</f>
        <v>444573.88</v>
      </c>
      <c r="AR177" s="141">
        <f>INDEX('B2018'!F$5:F$32,MATCH($C177,'B2018'!$A$5:$A$32,0))</f>
        <v>613770.68999999994</v>
      </c>
      <c r="AS177" s="141">
        <f>INDEX('B2018'!G$5:G$32,MATCH($C177,'B2018'!$A$5:$A$32,0))</f>
        <v>746497.95</v>
      </c>
      <c r="AT177" s="141">
        <f>INDEX('B2018'!H$5:H$32,MATCH($C177,'B2018'!$A$5:$A$32,0))</f>
        <v>1092029.33</v>
      </c>
      <c r="AU177" s="141">
        <f>INDEX('B2018'!I$5:I$32,MATCH($C177,'B2018'!$A$5:$A$32,0))</f>
        <v>1418764.13</v>
      </c>
      <c r="AV177" s="141">
        <f>INDEX('B2018'!J$5:J$32,MATCH($C177,'B2018'!$A$5:$A$32,0))</f>
        <v>1176416.6299999999</v>
      </c>
      <c r="AW177" s="141">
        <f>INDEX('B2018'!K$5:K$32,MATCH($C177,'B2018'!$A$5:$A$32,0))</f>
        <v>564236.84000000008</v>
      </c>
      <c r="AX177" s="141">
        <f>INDEX('B2018'!L$5:L$32,MATCH($C177,'B2018'!$A$5:$A$32,0))</f>
        <v>544953.30999999994</v>
      </c>
      <c r="AY177" s="141">
        <f>INDEX('B2018'!M$5:M$32,MATCH($C177,'B2018'!$A$5:$A$32,0))</f>
        <v>402352.66</v>
      </c>
      <c r="AZ177" s="141">
        <f>INDEX('B2019'!B$5:B$32,MATCH($C177,'B2019'!$A$5:$A$32,0))</f>
        <v>697078.12</v>
      </c>
      <c r="BA177" s="141">
        <f>INDEX('B2019'!C$5:C$32,MATCH($C177,'B2019'!$A$5:$A$32,0))</f>
        <v>717812.74</v>
      </c>
      <c r="BB177" s="141">
        <f>INDEX('B2019'!D$5:D$32,MATCH($C177,'B2019'!$A$5:$A$32,0))</f>
        <v>501117.79</v>
      </c>
      <c r="BC177" s="141">
        <f>INDEX('B2019'!E$5:E$32,MATCH($C177,'B2019'!$A$5:$A$32,0))</f>
        <v>461836.26</v>
      </c>
      <c r="BD177" s="141">
        <f>INDEX('B2019'!F$5:F$32,MATCH($C177,'B2019'!$A$5:$A$32,0))</f>
        <v>524162.28</v>
      </c>
      <c r="BE177" s="141">
        <f>INDEX('B2019'!G$5:G$32,MATCH($C177,'B2019'!$A$5:$A$32,0))</f>
        <v>360557.51</v>
      </c>
      <c r="BF177" s="141">
        <f>INDEX('B2019'!H$5:H$32,MATCH($C177,'B2019'!$A$5:$A$32,0))</f>
        <v>407681.11</v>
      </c>
      <c r="BG177" s="141">
        <f>INDEX('B2019'!I$5:I$32,MATCH($C177,'B2019'!$A$5:$A$32,0))</f>
        <v>441559.63999999996</v>
      </c>
      <c r="BH177" s="141">
        <f>INDEX('B2019'!J$5:J$32,MATCH($C177,'B2019'!$A$5:$A$32,0))</f>
        <v>371286.07</v>
      </c>
      <c r="BI177" s="141">
        <f>INDEX('B2019'!K$5:K$32,MATCH($C177,'B2019'!$A$5:$A$32,0))</f>
        <v>430888.67999999993</v>
      </c>
      <c r="BJ177" s="141">
        <f>INDEX('B2019'!L$5:L$32,MATCH($C177,'B2019'!$A$5:$A$32,0))</f>
        <v>294674.17000000004</v>
      </c>
      <c r="BK177" s="141">
        <f>INDEX('B2019'!M$5:M$32,MATCH($C177,'B2019'!$A$5:$A$32,0))</f>
        <v>333130.31</v>
      </c>
      <c r="BL177" s="141">
        <f>INDEX('B2020'!B$5:B$32,MATCH($C177,'B2020'!$A$5:$A$32,0))</f>
        <v>307404.41000000003</v>
      </c>
      <c r="BM177" s="141">
        <f>INDEX('B2020'!C$5:C$32,MATCH($C177,'B2020'!$A$5:$A$32,0))</f>
        <v>287659.16000000003</v>
      </c>
      <c r="BN177" s="141">
        <f>INDEX('B2020'!D$5:D$32,MATCH($C177,'B2020'!$A$5:$A$32,0))</f>
        <v>865860.84000000008</v>
      </c>
      <c r="BO177" s="141">
        <f>INDEX('B2020'!E$5:E$32,MATCH($C177,'B2020'!$A$5:$A$32,0))</f>
        <v>1053157.04</v>
      </c>
      <c r="BP177" s="141">
        <f>INDEX('B2020'!F$5:F$32,MATCH($C177,'B2020'!$A$5:$A$32,0))</f>
        <v>2042067.16</v>
      </c>
      <c r="BQ177" s="403">
        <f>INDEX('B2020'!G$5:G$32,MATCH($C177,'B2020'!$A$5:$A$32,0))</f>
        <v>1818419.1300000001</v>
      </c>
      <c r="BR177" s="161">
        <f t="shared" ref="BQ177:CI177" si="120">BQ177+BR174+BR176</f>
        <v>2004955.2138049072</v>
      </c>
      <c r="BS177" s="161">
        <f t="shared" si="120"/>
        <v>2176436.254607555</v>
      </c>
      <c r="BT177" s="161">
        <f t="shared" si="120"/>
        <v>2337891.9819316086</v>
      </c>
      <c r="BU177" s="161">
        <f t="shared" si="120"/>
        <v>2492398.9038104606</v>
      </c>
      <c r="BV177" s="161">
        <f t="shared" si="120"/>
        <v>2643228.0928599476</v>
      </c>
      <c r="BW177" s="161">
        <f t="shared" si="120"/>
        <v>2792651.1517965011</v>
      </c>
      <c r="BX177" s="161">
        <f t="shared" si="120"/>
        <v>2958557.7363461051</v>
      </c>
      <c r="BY177" s="161">
        <f t="shared" si="120"/>
        <v>3138235.5224057413</v>
      </c>
      <c r="BZ177" s="161">
        <f t="shared" si="120"/>
        <v>3330596.9564383137</v>
      </c>
      <c r="CA177" s="161">
        <f t="shared" si="120"/>
        <v>3532904.524598652</v>
      </c>
      <c r="CB177" s="161">
        <f t="shared" si="120"/>
        <v>3744307.4878026294</v>
      </c>
      <c r="CC177" s="161">
        <f t="shared" si="120"/>
        <v>3964720.9456567317</v>
      </c>
      <c r="CD177" s="161">
        <f t="shared" si="120"/>
        <v>4192715.9307898236</v>
      </c>
      <c r="CE177" s="161">
        <f t="shared" si="120"/>
        <v>4427245.8312094491</v>
      </c>
      <c r="CF177" s="161">
        <f t="shared" si="120"/>
        <v>4667838.4107363243</v>
      </c>
      <c r="CG177" s="161">
        <f t="shared" si="120"/>
        <v>4914088.6650879392</v>
      </c>
      <c r="CH177" s="161">
        <f t="shared" si="120"/>
        <v>5165728.8956691297</v>
      </c>
      <c r="CI177" s="162">
        <f t="shared" si="120"/>
        <v>5422545.7494692486</v>
      </c>
      <c r="CJ177" s="134"/>
    </row>
    <row r="178" spans="1:88" ht="9.75" customHeight="1" x14ac:dyDescent="0.3">
      <c r="A178" s="33"/>
      <c r="B178" s="140"/>
      <c r="C178" s="129"/>
      <c r="D178" s="44"/>
      <c r="E178" s="144" t="b">
        <f>(E177-D177)=E174</f>
        <v>1</v>
      </c>
      <c r="F178" s="144" t="b">
        <f t="shared" ref="F178:BK178" si="121">(F177-E177)=F174</f>
        <v>1</v>
      </c>
      <c r="G178" s="144" t="b">
        <f t="shared" si="121"/>
        <v>0</v>
      </c>
      <c r="H178" s="144" t="b">
        <f t="shared" si="121"/>
        <v>1</v>
      </c>
      <c r="I178" s="144" t="b">
        <f t="shared" si="121"/>
        <v>1</v>
      </c>
      <c r="J178" s="144" t="b">
        <f t="shared" si="121"/>
        <v>1</v>
      </c>
      <c r="K178" s="144" t="b">
        <f t="shared" si="121"/>
        <v>1</v>
      </c>
      <c r="L178" s="144" t="b">
        <f t="shared" si="121"/>
        <v>1</v>
      </c>
      <c r="M178" s="144" t="b">
        <f t="shared" si="121"/>
        <v>1</v>
      </c>
      <c r="N178" s="144" t="b">
        <f t="shared" si="121"/>
        <v>0</v>
      </c>
      <c r="O178" s="144" t="b">
        <f t="shared" si="121"/>
        <v>1</v>
      </c>
      <c r="P178" s="144" t="b">
        <f t="shared" si="121"/>
        <v>1</v>
      </c>
      <c r="Q178" s="144" t="b">
        <f t="shared" si="121"/>
        <v>1</v>
      </c>
      <c r="R178" s="144" t="b">
        <f t="shared" si="121"/>
        <v>1</v>
      </c>
      <c r="S178" s="144" t="b">
        <f t="shared" si="121"/>
        <v>1</v>
      </c>
      <c r="T178" s="144" t="b">
        <f t="shared" si="121"/>
        <v>1</v>
      </c>
      <c r="U178" s="144" t="b">
        <f t="shared" si="121"/>
        <v>0</v>
      </c>
      <c r="V178" s="144" t="b">
        <f t="shared" si="121"/>
        <v>1</v>
      </c>
      <c r="W178" s="144" t="b">
        <f t="shared" si="121"/>
        <v>1</v>
      </c>
      <c r="X178" s="144" t="b">
        <f t="shared" si="121"/>
        <v>1</v>
      </c>
      <c r="Y178" s="144" t="b">
        <f t="shared" si="121"/>
        <v>0</v>
      </c>
      <c r="Z178" s="144" t="b">
        <f t="shared" si="121"/>
        <v>0</v>
      </c>
      <c r="AA178" s="144" t="b">
        <f t="shared" si="121"/>
        <v>1</v>
      </c>
      <c r="AB178" s="144" t="b">
        <f t="shared" si="121"/>
        <v>1</v>
      </c>
      <c r="AC178" s="144" t="b">
        <f t="shared" si="121"/>
        <v>1</v>
      </c>
      <c r="AD178" s="144" t="b">
        <f t="shared" si="121"/>
        <v>1</v>
      </c>
      <c r="AE178" s="144" t="b">
        <f t="shared" si="121"/>
        <v>0</v>
      </c>
      <c r="AF178" s="144" t="b">
        <f t="shared" si="121"/>
        <v>0</v>
      </c>
      <c r="AG178" s="144" t="b">
        <f t="shared" si="121"/>
        <v>1</v>
      </c>
      <c r="AH178" s="144" t="b">
        <f t="shared" si="121"/>
        <v>1</v>
      </c>
      <c r="AI178" s="144" t="b">
        <f t="shared" si="121"/>
        <v>0</v>
      </c>
      <c r="AJ178" s="144" t="b">
        <f t="shared" si="121"/>
        <v>0</v>
      </c>
      <c r="AK178" s="144" t="b">
        <f t="shared" si="121"/>
        <v>1</v>
      </c>
      <c r="AL178" s="144" t="b">
        <f t="shared" si="121"/>
        <v>0</v>
      </c>
      <c r="AM178" s="144" t="b">
        <f t="shared" si="121"/>
        <v>1</v>
      </c>
      <c r="AN178" s="144" t="b">
        <f t="shared" si="121"/>
        <v>0</v>
      </c>
      <c r="AO178" s="144" t="b">
        <f t="shared" si="121"/>
        <v>1</v>
      </c>
      <c r="AP178" s="144" t="b">
        <f t="shared" si="121"/>
        <v>1</v>
      </c>
      <c r="AQ178" s="144" t="b">
        <f t="shared" si="121"/>
        <v>1</v>
      </c>
      <c r="AR178" s="144" t="b">
        <f t="shared" si="121"/>
        <v>1</v>
      </c>
      <c r="AS178" s="144" t="b">
        <f t="shared" si="121"/>
        <v>1</v>
      </c>
      <c r="AT178" s="144" t="b">
        <f t="shared" si="121"/>
        <v>1</v>
      </c>
      <c r="AU178" s="144" t="b">
        <f t="shared" si="121"/>
        <v>1</v>
      </c>
      <c r="AV178" s="144" t="b">
        <f t="shared" si="121"/>
        <v>1</v>
      </c>
      <c r="AW178" s="144" t="b">
        <f t="shared" si="121"/>
        <v>1</v>
      </c>
      <c r="AX178" s="144" t="b">
        <f t="shared" si="121"/>
        <v>0</v>
      </c>
      <c r="AY178" s="144" t="b">
        <f t="shared" si="121"/>
        <v>1</v>
      </c>
      <c r="AZ178" s="144" t="b">
        <f t="shared" si="121"/>
        <v>1</v>
      </c>
      <c r="BA178" s="144" t="b">
        <f t="shared" si="121"/>
        <v>1</v>
      </c>
      <c r="BB178" s="144" t="b">
        <f t="shared" si="121"/>
        <v>1</v>
      </c>
      <c r="BC178" s="144" t="b">
        <f t="shared" si="121"/>
        <v>1</v>
      </c>
      <c r="BD178" s="144" t="b">
        <f t="shared" si="121"/>
        <v>1</v>
      </c>
      <c r="BE178" s="144" t="b">
        <f t="shared" si="121"/>
        <v>1</v>
      </c>
      <c r="BF178" s="144" t="b">
        <f t="shared" si="121"/>
        <v>1</v>
      </c>
      <c r="BG178" s="144" t="b">
        <f t="shared" si="121"/>
        <v>1</v>
      </c>
      <c r="BH178" s="144" t="b">
        <f t="shared" si="121"/>
        <v>0</v>
      </c>
      <c r="BI178" s="144" t="b">
        <f t="shared" si="121"/>
        <v>0</v>
      </c>
      <c r="BJ178" s="144" t="b">
        <f t="shared" si="121"/>
        <v>1</v>
      </c>
      <c r="BK178" s="144" t="b">
        <f t="shared" si="121"/>
        <v>1</v>
      </c>
      <c r="BL178" s="144" t="b">
        <f t="shared" ref="BL178" si="122">(BL177-BK177)=BL174</f>
        <v>1</v>
      </c>
      <c r="BM178" s="144" t="b">
        <f t="shared" ref="BM178" si="123">(BM177-BL177)=BM174</f>
        <v>1</v>
      </c>
      <c r="BN178" s="144" t="b">
        <f t="shared" ref="BN178" si="124">(BN177-BM177)=BN174</f>
        <v>1</v>
      </c>
      <c r="BO178" s="144" t="b">
        <f t="shared" ref="BO178" si="125">(BO177-BN177)=BO174</f>
        <v>1</v>
      </c>
      <c r="BP178" s="144" t="b">
        <f t="shared" ref="BP178:BQ178" si="126">(BP177-BO177)=BP174</f>
        <v>1</v>
      </c>
      <c r="BQ178" s="404" t="b">
        <f t="shared" si="126"/>
        <v>1</v>
      </c>
      <c r="BR178" s="64"/>
      <c r="BS178" s="64"/>
      <c r="BT178" s="64"/>
      <c r="BU178" s="64"/>
      <c r="BV178" s="64"/>
      <c r="BW178" s="64"/>
      <c r="BX178" s="64"/>
      <c r="BY178" s="64"/>
      <c r="BZ178" s="64"/>
      <c r="CA178" s="64"/>
      <c r="CB178" s="64"/>
      <c r="CC178" s="64"/>
      <c r="CD178" s="64"/>
      <c r="CE178" s="64"/>
      <c r="CF178" s="64"/>
      <c r="CG178" s="64"/>
      <c r="CH178" s="64"/>
      <c r="CI178" s="124"/>
      <c r="CJ178" s="134"/>
    </row>
    <row r="179" spans="1:88" x14ac:dyDescent="0.3">
      <c r="A179" s="33"/>
      <c r="B179" s="68"/>
      <c r="C179" s="83" t="s">
        <v>454</v>
      </c>
      <c r="D179" s="128"/>
      <c r="E179" s="128"/>
      <c r="F179" s="128"/>
      <c r="G179" s="128"/>
      <c r="H179" s="128"/>
      <c r="I179" s="128"/>
      <c r="J179" s="128"/>
      <c r="K179" s="128"/>
      <c r="L179" s="128"/>
      <c r="M179" s="128"/>
      <c r="N179" s="128"/>
      <c r="O179" s="128"/>
      <c r="P179" s="128"/>
      <c r="Q179" s="128"/>
      <c r="R179" s="128"/>
      <c r="S179" s="128"/>
      <c r="T179" s="128"/>
      <c r="U179" s="128"/>
      <c r="V179" s="128"/>
      <c r="W179" s="128"/>
      <c r="X179" s="128"/>
      <c r="Y179" s="128"/>
      <c r="Z179" s="128"/>
      <c r="AA179" s="128"/>
      <c r="AB179" s="128"/>
      <c r="AC179" s="128"/>
      <c r="AD179" s="128"/>
      <c r="AE179" s="128"/>
      <c r="AF179" s="128"/>
      <c r="AG179" s="128"/>
      <c r="AH179" s="128"/>
      <c r="AI179" s="128"/>
      <c r="AJ179" s="128"/>
      <c r="AK179" s="128"/>
      <c r="AL179" s="128"/>
      <c r="AM179" s="128"/>
      <c r="AN179" s="128"/>
      <c r="AO179" s="128"/>
      <c r="AP179" s="128"/>
      <c r="AQ179" s="128"/>
      <c r="AR179" s="128"/>
      <c r="AS179" s="128"/>
      <c r="AT179" s="128"/>
      <c r="AU179" s="128"/>
      <c r="AV179" s="128"/>
      <c r="AW179" s="128"/>
      <c r="AX179" s="128"/>
      <c r="AY179" s="128"/>
      <c r="AZ179" s="128"/>
      <c r="BA179" s="128"/>
      <c r="BB179" s="128"/>
      <c r="BC179" s="128"/>
      <c r="BD179" s="128"/>
      <c r="BE179" s="128"/>
      <c r="BF179" s="128"/>
      <c r="BG179" s="128"/>
      <c r="BH179" s="128"/>
      <c r="BI179" s="128"/>
      <c r="BJ179" s="128"/>
      <c r="BK179" s="128"/>
      <c r="BL179" s="128"/>
      <c r="BM179" s="128"/>
      <c r="BN179" s="128"/>
      <c r="BO179" s="128"/>
      <c r="BP179" s="128"/>
      <c r="BQ179" s="400"/>
      <c r="BR179" s="157"/>
      <c r="BS179" s="157"/>
      <c r="BT179" s="157"/>
      <c r="BU179" s="157"/>
      <c r="BV179" s="157"/>
      <c r="BW179" s="157"/>
      <c r="BX179" s="157"/>
      <c r="BY179" s="157"/>
      <c r="BZ179" s="157"/>
      <c r="CA179" s="157"/>
      <c r="CB179" s="157"/>
      <c r="CC179" s="157"/>
      <c r="CD179" s="157"/>
      <c r="CE179" s="157"/>
      <c r="CF179" s="157"/>
      <c r="CG179" s="157"/>
      <c r="CH179" s="157"/>
      <c r="CI179" s="158"/>
      <c r="CJ179" s="134"/>
    </row>
    <row r="180" spans="1:88" x14ac:dyDescent="0.3">
      <c r="A180" s="33" t="s">
        <v>452</v>
      </c>
      <c r="B180" s="171">
        <v>-7.0000000000000007E-2</v>
      </c>
      <c r="C180" s="5" t="s">
        <v>387</v>
      </c>
      <c r="D180" s="141">
        <f>INDEX('C2015'!B$5:B$32,MATCH($C180,'C2015'!$A$5:$A$32,0))</f>
        <v>-733.4</v>
      </c>
      <c r="E180" s="141">
        <f>INDEX('C2015'!C$5:C$32,MATCH($C180,'C2015'!$A$5:$A$32,0))</f>
        <v>-2023.8</v>
      </c>
      <c r="F180" s="141">
        <f>INDEX('C2015'!D$5:D$32,MATCH($C180,'C2015'!$A$5:$A$32,0))</f>
        <v>-5829.36</v>
      </c>
      <c r="G180" s="141">
        <f>INDEX('C2015'!E$5:E$32,MATCH($C180,'C2015'!$A$5:$A$32,0))</f>
        <v>2608.9299999999998</v>
      </c>
      <c r="H180" s="141">
        <f>INDEX('C2015'!F$5:F$32,MATCH($C180,'C2015'!$A$5:$A$32,0))</f>
        <v>2509.42</v>
      </c>
      <c r="I180" s="141">
        <f>INDEX('C2015'!G$5:G$32,MATCH($C180,'C2015'!$A$5:$A$32,0))</f>
        <v>1254.1199999999999</v>
      </c>
      <c r="J180" s="141">
        <f>INDEX('C2015'!H$5:H$32,MATCH($C180,'C2015'!$A$5:$A$32,0))</f>
        <v>-3710.21</v>
      </c>
      <c r="K180" s="141">
        <f>INDEX('C2015'!I$5:I$32,MATCH($C180,'C2015'!$A$5:$A$32,0))</f>
        <v>-3620.47</v>
      </c>
      <c r="L180" s="141">
        <f>INDEX('C2015'!J$5:J$32,MATCH($C180,'C2015'!$A$5:$A$32,0))</f>
        <v>-7252.29</v>
      </c>
      <c r="M180" s="141">
        <f>INDEX('C2015'!K$5:K$32,MATCH($C180,'C2015'!$A$5:$A$32,0))</f>
        <v>-3988.36</v>
      </c>
      <c r="N180" s="141">
        <f>INDEX('C2015'!L$5:L$32,MATCH($C180,'C2015'!$A$5:$A$32,0))</f>
        <v>-2535.08</v>
      </c>
      <c r="O180" s="141">
        <f>INDEX('C2015'!M$5:M$32,MATCH($C180,'C2015'!$A$5:$A$32,0))</f>
        <v>-8857.51</v>
      </c>
      <c r="P180" s="141">
        <f>INDEX('C2016'!B$5:B$32,MATCH($C180,'C2016'!$A$5:$A$32,0))</f>
        <v>-12357.61</v>
      </c>
      <c r="Q180" s="141">
        <f>INDEX('C2016'!C$5:C$32,MATCH($C180,'C2016'!$A$5:$A$32,0))</f>
        <v>-2380.34</v>
      </c>
      <c r="R180" s="141">
        <f>INDEX('C2016'!D$5:D$32,MATCH($C180,'C2016'!$A$5:$A$32,0))</f>
        <v>181.41</v>
      </c>
      <c r="S180" s="141">
        <f>INDEX('C2016'!E$5:E$32,MATCH($C180,'C2016'!$A$5:$A$32,0))</f>
        <v>-20139.22</v>
      </c>
      <c r="T180" s="141">
        <f>INDEX('C2016'!F$5:F$32,MATCH($C180,'C2016'!$A$5:$A$32,0))</f>
        <v>-14479.05</v>
      </c>
      <c r="U180" s="141">
        <f>INDEX('C2016'!G$5:G$32,MATCH($C180,'C2016'!$A$5:$A$32,0))</f>
        <v>-370.36</v>
      </c>
      <c r="V180" s="141">
        <f>INDEX('C2016'!H$5:H$32,MATCH($C180,'C2016'!$A$5:$A$32,0))</f>
        <v>-7965.15</v>
      </c>
      <c r="W180" s="141">
        <f>INDEX('C2016'!I$5:I$32,MATCH($C180,'C2016'!$A$5:$A$32,0))</f>
        <v>-1544.05</v>
      </c>
      <c r="X180" s="141">
        <f>INDEX('C2016'!J$5:J$32,MATCH($C180,'C2016'!$A$5:$A$32,0))</f>
        <v>1731.74</v>
      </c>
      <c r="Y180" s="141">
        <f>INDEX('C2016'!K$5:K$32,MATCH($C180,'C2016'!$A$5:$A$32,0))</f>
        <v>10224.790000000001</v>
      </c>
      <c r="Z180" s="141">
        <f>INDEX('C2016'!L$5:L$32,MATCH($C180,'C2016'!$A$5:$A$32,0))</f>
        <v>5098.68</v>
      </c>
      <c r="AA180" s="141">
        <f>INDEX('C2016'!M$5:M$32,MATCH($C180,'C2016'!$A$5:$A$32,0))</f>
        <v>-26715.08</v>
      </c>
      <c r="AB180" s="141">
        <f>INDEX('C2017'!B$5:B$32,MATCH($C180,'C2017'!$A$5:$A$32,0))</f>
        <v>-17248.310000000001</v>
      </c>
      <c r="AC180" s="141">
        <f>INDEX('C2017'!C$5:C$32,MATCH($C180,'C2017'!$A$5:$A$32,0))</f>
        <v>-37839.33</v>
      </c>
      <c r="AD180" s="141">
        <f>INDEX('C2017'!D$5:D$32,MATCH($C180,'C2017'!$A$5:$A$32,0))</f>
        <v>-25368.74</v>
      </c>
      <c r="AE180" s="141">
        <f>INDEX('C2017'!E$5:E$32,MATCH($C180,'C2017'!$A$5:$A$32,0))</f>
        <v>25870.33</v>
      </c>
      <c r="AF180" s="141">
        <f>INDEX('C2017'!F$5:F$32,MATCH($C180,'C2017'!$A$5:$A$32,0))</f>
        <v>-6190.07</v>
      </c>
      <c r="AG180" s="141">
        <f>INDEX('C2017'!G$5:G$32,MATCH($C180,'C2017'!$A$5:$A$32,0))</f>
        <v>-24144.3</v>
      </c>
      <c r="AH180" s="141">
        <f>INDEX('C2017'!H$5:H$32,MATCH($C180,'C2017'!$A$5:$A$32,0))</f>
        <v>-16023.25</v>
      </c>
      <c r="AI180" s="141">
        <f>INDEX('C2017'!I$5:I$32,MATCH($C180,'C2017'!$A$5:$A$32,0))</f>
        <v>-29605.5</v>
      </c>
      <c r="AJ180" s="141">
        <f>INDEX('C2017'!J$5:J$32,MATCH($C180,'C2017'!$A$5:$A$32,0))</f>
        <v>281.39999999999998</v>
      </c>
      <c r="AK180" s="141">
        <f>INDEX('C2017'!K$5:K$32,MATCH($C180,'C2017'!$A$5:$A$32,0))</f>
        <v>15627.84</v>
      </c>
      <c r="AL180" s="141">
        <f>INDEX('C2017'!L$5:L$32,MATCH($C180,'C2017'!$A$5:$A$32,0))</f>
        <v>-23952.31</v>
      </c>
      <c r="AM180" s="141">
        <f>INDEX('C2017'!M$5:M$32,MATCH($C180,'C2017'!$A$5:$A$32,0))</f>
        <v>-27340.53</v>
      </c>
      <c r="AN180" s="141">
        <f>INDEX('C2018'!B$5:B$32,MATCH($C180,'C2018'!$A$5:$A$32,0))</f>
        <v>-11247.46</v>
      </c>
      <c r="AO180" s="141">
        <f>INDEX('C2018'!C$5:C$32,MATCH($C180,'C2018'!$A$5:$A$32,0))</f>
        <v>-39131.17</v>
      </c>
      <c r="AP180" s="141">
        <f>INDEX('C2018'!D$5:D$32,MATCH($C180,'C2018'!$A$5:$A$32,0))</f>
        <v>-117908.46</v>
      </c>
      <c r="AQ180" s="141">
        <f>INDEX('C2018'!E$5:E$32,MATCH($C180,'C2018'!$A$5:$A$32,0))</f>
        <v>29050.1</v>
      </c>
      <c r="AR180" s="141">
        <f>INDEX('C2018'!F$5:F$32,MATCH($C180,'C2018'!$A$5:$A$32,0))</f>
        <v>-59726.77</v>
      </c>
      <c r="AS180" s="141">
        <f>INDEX('C2018'!G$5:G$32,MATCH($C180,'C2018'!$A$5:$A$32,0))</f>
        <v>-131219.93</v>
      </c>
      <c r="AT180" s="141">
        <f>INDEX('C2018'!H$5:H$32,MATCH($C180,'C2018'!$A$5:$A$32,0))</f>
        <v>-223567.38</v>
      </c>
      <c r="AU180" s="141">
        <f>INDEX('C2018'!I$5:I$32,MATCH($C180,'C2018'!$A$5:$A$32,0))</f>
        <v>-98659.77</v>
      </c>
      <c r="AV180" s="141">
        <f>INDEX('C2018'!J$5:J$32,MATCH($C180,'C2018'!$A$5:$A$32,0))</f>
        <v>-166548.95000000001</v>
      </c>
      <c r="AW180" s="141">
        <f>INDEX('C2018'!K$5:K$32,MATCH($C180,'C2018'!$A$5:$A$32,0))</f>
        <v>-118899.13</v>
      </c>
      <c r="AX180" s="141">
        <f>INDEX('C2018'!L$5:L$32,MATCH($C180,'C2018'!$A$5:$A$32,0))</f>
        <v>-358406.09</v>
      </c>
      <c r="AY180" s="141">
        <f>INDEX('C2018'!M$5:M$32,MATCH($C180,'C2018'!$A$5:$A$32,0))</f>
        <v>189242.98</v>
      </c>
      <c r="AZ180" s="141">
        <f>INDEX('C2019'!B$5:B$32,MATCH($C180,'C2019'!$A$5:$A$32,0))</f>
        <v>200653.29</v>
      </c>
      <c r="BA180" s="141">
        <f>INDEX('C2019'!C$5:C$32,MATCH($C180,'C2019'!$A$5:$A$32,0))</f>
        <v>-18624.34</v>
      </c>
      <c r="BB180" s="141">
        <f>INDEX('C2019'!D$5:D$32,MATCH($C180,'C2019'!$A$5:$A$32,0))</f>
        <v>-258080.99</v>
      </c>
      <c r="BC180" s="141">
        <f>INDEX('C2019'!E$5:E$32,MATCH($C180,'C2019'!$A$5:$A$32,0))</f>
        <v>27184.68</v>
      </c>
      <c r="BD180" s="141">
        <f>INDEX('C2019'!F$5:F$32,MATCH($C180,'C2019'!$A$5:$A$32,0))</f>
        <v>64434.17</v>
      </c>
      <c r="BE180" s="141">
        <f>INDEX('C2019'!G$5:G$32,MATCH($C180,'C2019'!$A$5:$A$32,0))</f>
        <v>-51059.92</v>
      </c>
      <c r="BF180" s="141">
        <f>INDEX('C2019'!H$5:H$32,MATCH($C180,'C2019'!$A$5:$A$32,0))</f>
        <v>-19136.349999999999</v>
      </c>
      <c r="BG180" s="141">
        <f>INDEX('C2019'!I$5:I$32,MATCH($C180,'C2019'!$A$5:$A$32,0))</f>
        <v>50747.48</v>
      </c>
      <c r="BH180" s="141">
        <f>INDEX('C2019'!J$5:J$32,MATCH($C180,'C2019'!$A$5:$A$32,0))</f>
        <v>6050.59</v>
      </c>
      <c r="BI180" s="141">
        <f>INDEX('C2019'!K$5:K$32,MATCH($C180,'C2019'!$A$5:$A$32,0))</f>
        <v>64762.69</v>
      </c>
      <c r="BJ180" s="141">
        <f>INDEX('C2019'!L$5:L$32,MATCH($C180,'C2019'!$A$5:$A$32,0))</f>
        <v>-15685.14</v>
      </c>
      <c r="BK180" s="141">
        <f>INDEX('C2019'!M$5:M$32,MATCH($C180,'C2019'!$A$5:$A$32,0))</f>
        <v>-68839.13</v>
      </c>
      <c r="BL180" s="141">
        <f>INDEX('C2020'!B$5:B$32,MATCH($C180,'C2020'!$A$5:$A$32,0))</f>
        <v>-51183.82</v>
      </c>
      <c r="BM180" s="141">
        <f>INDEX('C2020'!C$5:C$32,MATCH($C180,'C2020'!$A$5:$A$32,0))</f>
        <v>3278.14</v>
      </c>
      <c r="BN180" s="141">
        <f>INDEX('C2020'!D$5:D$32,MATCH($C180,'C2020'!$A$5:$A$32,0))</f>
        <v>79121.960000000006</v>
      </c>
      <c r="BO180" s="141">
        <f>INDEX('C2020'!E$5:E$32,MATCH($C180,'C2020'!$A$5:$A$32,0))</f>
        <v>85793.7</v>
      </c>
      <c r="BP180" s="141">
        <f>INDEX('C2020'!F$5:F$32,MATCH($C180,'C2020'!$A$5:$A$32,0))</f>
        <v>-561448.25</v>
      </c>
      <c r="BQ180" s="403">
        <f>INDEX('C2020'!G$5:G$32,MATCH($C180,'C2020'!$A$5:$A$32,0))</f>
        <v>-567282.49</v>
      </c>
      <c r="BR180" s="161">
        <f t="shared" ref="BQ180:CI180" si="127">$B$180*BR15</f>
        <v>-4601.4265434368008</v>
      </c>
      <c r="BS180" s="161">
        <f t="shared" si="127"/>
        <v>-4666.03233079245</v>
      </c>
      <c r="BT180" s="161">
        <f t="shared" si="127"/>
        <v>-4776.8104264395488</v>
      </c>
      <c r="BU180" s="161">
        <f t="shared" si="127"/>
        <v>-4928.0719766655629</v>
      </c>
      <c r="BV180" s="161">
        <f t="shared" si="127"/>
        <v>-5115.4786349772103</v>
      </c>
      <c r="BW180" s="161">
        <f t="shared" si="127"/>
        <v>-5335.7852248452136</v>
      </c>
      <c r="BX180" s="161">
        <f t="shared" si="127"/>
        <v>-5530.6815314925689</v>
      </c>
      <c r="BY180" s="161">
        <f t="shared" si="127"/>
        <v>-5705.5293770846974</v>
      </c>
      <c r="BZ180" s="161">
        <f t="shared" si="127"/>
        <v>-5864.6224158367613</v>
      </c>
      <c r="CA180" s="161">
        <f t="shared" si="127"/>
        <v>-6011.3998305509458</v>
      </c>
      <c r="CB180" s="161">
        <f t="shared" si="127"/>
        <v>-6148.6172907905175</v>
      </c>
      <c r="CC180" s="161">
        <f t="shared" si="127"/>
        <v>-6278.4837203774205</v>
      </c>
      <c r="CD180" s="161">
        <f t="shared" si="127"/>
        <v>-6402.770712363118</v>
      </c>
      <c r="CE180" s="161">
        <f t="shared" si="127"/>
        <v>-6522.9000619925937</v>
      </c>
      <c r="CF180" s="161">
        <f t="shared" si="127"/>
        <v>-6640.0137940777058</v>
      </c>
      <c r="CG180" s="161">
        <f t="shared" si="127"/>
        <v>-6755.0301859130486</v>
      </c>
      <c r="CH180" s="161">
        <f t="shared" si="127"/>
        <v>-6868.6885866410867</v>
      </c>
      <c r="CI180" s="162">
        <f t="shared" si="127"/>
        <v>-6981.5852737921778</v>
      </c>
      <c r="CJ180" s="134"/>
    </row>
    <row r="181" spans="1:88" ht="15" thickBot="1" x14ac:dyDescent="0.35">
      <c r="A181" s="45"/>
      <c r="B181" s="172"/>
      <c r="C181" s="130"/>
      <c r="D181" s="131"/>
      <c r="E181" s="131"/>
      <c r="F181" s="131"/>
      <c r="G181" s="131"/>
      <c r="H181" s="131"/>
      <c r="I181" s="131"/>
      <c r="J181" s="131"/>
      <c r="K181" s="131"/>
      <c r="L181" s="131"/>
      <c r="M181" s="131"/>
      <c r="N181" s="131"/>
      <c r="O181" s="131"/>
      <c r="P181" s="131"/>
      <c r="Q181" s="131"/>
      <c r="R181" s="131"/>
      <c r="S181" s="131"/>
      <c r="T181" s="131"/>
      <c r="U181" s="131"/>
      <c r="V181" s="131"/>
      <c r="W181" s="131"/>
      <c r="X181" s="131"/>
      <c r="Y181" s="131"/>
      <c r="Z181" s="131"/>
      <c r="AA181" s="131"/>
      <c r="AB181" s="131"/>
      <c r="AC181" s="131"/>
      <c r="AD181" s="131"/>
      <c r="AE181" s="131"/>
      <c r="AF181" s="131"/>
      <c r="AG181" s="131"/>
      <c r="AH181" s="131"/>
      <c r="AI181" s="131"/>
      <c r="AJ181" s="131"/>
      <c r="AK181" s="131"/>
      <c r="AL181" s="131"/>
      <c r="AM181" s="131"/>
      <c r="AN181" s="131"/>
      <c r="AO181" s="131"/>
      <c r="AP181" s="131"/>
      <c r="AQ181" s="131"/>
      <c r="AR181" s="131"/>
      <c r="AS181" s="131"/>
      <c r="AT181" s="131"/>
      <c r="AU181" s="131"/>
      <c r="AV181" s="131"/>
      <c r="AW181" s="131"/>
      <c r="AX181" s="131"/>
      <c r="AY181" s="131"/>
      <c r="AZ181" s="131"/>
      <c r="BA181" s="131"/>
      <c r="BB181" s="131"/>
      <c r="BC181" s="131"/>
      <c r="BD181" s="131"/>
      <c r="BE181" s="131"/>
      <c r="BF181" s="131"/>
      <c r="BG181" s="131"/>
      <c r="BH181" s="131"/>
      <c r="BI181" s="131"/>
      <c r="BJ181" s="131"/>
      <c r="BK181" s="131"/>
      <c r="BL181" s="131"/>
      <c r="BM181" s="131"/>
      <c r="BN181" s="131"/>
      <c r="BO181" s="131"/>
      <c r="BP181" s="131"/>
      <c r="BQ181" s="405"/>
      <c r="BR181" s="163"/>
      <c r="BS181" s="163"/>
      <c r="BT181" s="163"/>
      <c r="BU181" s="163"/>
      <c r="BV181" s="163"/>
      <c r="BW181" s="163"/>
      <c r="BX181" s="163"/>
      <c r="BY181" s="163"/>
      <c r="BZ181" s="163"/>
      <c r="CA181" s="163"/>
      <c r="CB181" s="163"/>
      <c r="CC181" s="163"/>
      <c r="CD181" s="163"/>
      <c r="CE181" s="163"/>
      <c r="CF181" s="163"/>
      <c r="CG181" s="163"/>
      <c r="CH181" s="163"/>
      <c r="CI181" s="164"/>
      <c r="CJ181" s="134"/>
    </row>
  </sheetData>
  <mergeCells count="3">
    <mergeCell ref="A4:B4"/>
    <mergeCell ref="A5:B5"/>
    <mergeCell ref="A6:B6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3" tint="0.59999389629810485"/>
  </sheetPr>
  <dimension ref="A1"/>
  <sheetViews>
    <sheetView workbookViewId="0"/>
  </sheetViews>
  <sheetFormatPr defaultColWidth="9" defaultRowHeight="14.4" x14ac:dyDescent="0.3"/>
  <cols>
    <col min="1" max="16384" width="9" style="1"/>
  </cols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5" tint="0.79998168889431442"/>
  </sheetPr>
  <dimension ref="A1:AL20"/>
  <sheetViews>
    <sheetView workbookViewId="0">
      <pane xSplit="1" ySplit="2" topLeftCell="AE3" activePane="bottomRight" state="frozen"/>
      <selection pane="topRight" activeCell="B1" sqref="B1"/>
      <selection pane="bottomLeft" activeCell="A3" sqref="A3"/>
      <selection pane="bottomRight" activeCell="AL1" sqref="AL1"/>
    </sheetView>
  </sheetViews>
  <sheetFormatPr defaultColWidth="9" defaultRowHeight="14.4" x14ac:dyDescent="0.3"/>
  <cols>
    <col min="1" max="1" width="37.88671875" style="2" customWidth="1"/>
    <col min="2" max="13" width="12" style="2" customWidth="1"/>
    <col min="14" max="14" width="13.6640625" style="2" customWidth="1"/>
    <col min="15" max="37" width="10.109375" style="2" bestFit="1" customWidth="1"/>
    <col min="38" max="16384" width="9" style="2"/>
  </cols>
  <sheetData>
    <row r="1" spans="1:38" ht="17.399999999999999" x14ac:dyDescent="0.3">
      <c r="A1" s="9" t="s">
        <v>1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</row>
    <row r="2" spans="1:38" ht="17.399999999999999" x14ac:dyDescent="0.3">
      <c r="A2" s="9" t="s">
        <v>223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38" x14ac:dyDescent="0.3">
      <c r="A3" s="11" t="s">
        <v>481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</row>
    <row r="4" spans="1:38" ht="31.8" x14ac:dyDescent="0.3">
      <c r="AC4" s="424" t="s">
        <v>480</v>
      </c>
      <c r="AD4" s="424"/>
      <c r="AE4" s="424"/>
      <c r="AF4" s="424"/>
      <c r="AG4" s="424"/>
      <c r="AH4" s="424"/>
      <c r="AI4" s="424"/>
      <c r="AJ4" s="424"/>
      <c r="AK4" s="424" t="s">
        <v>486</v>
      </c>
      <c r="AL4" s="423" t="s">
        <v>540</v>
      </c>
    </row>
    <row r="5" spans="1:38" x14ac:dyDescent="0.3">
      <c r="A5" s="3"/>
      <c r="B5" s="13">
        <v>42887</v>
      </c>
      <c r="C5" s="13">
        <v>42917</v>
      </c>
      <c r="D5" s="13">
        <v>42948</v>
      </c>
      <c r="E5" s="13">
        <v>42979</v>
      </c>
      <c r="F5" s="13">
        <v>43009</v>
      </c>
      <c r="G5" s="13">
        <v>43040</v>
      </c>
      <c r="H5" s="13">
        <v>43070</v>
      </c>
      <c r="I5" s="13">
        <v>43101</v>
      </c>
      <c r="J5" s="13">
        <v>43132</v>
      </c>
      <c r="K5" s="13">
        <v>43160</v>
      </c>
      <c r="L5" s="13">
        <v>43191</v>
      </c>
      <c r="M5" s="13">
        <v>43221</v>
      </c>
      <c r="N5" s="13">
        <v>43252</v>
      </c>
      <c r="O5" s="13">
        <v>43282</v>
      </c>
      <c r="P5" s="13">
        <v>43313</v>
      </c>
      <c r="Q5" s="13">
        <v>43344</v>
      </c>
      <c r="R5" s="13">
        <v>43374</v>
      </c>
      <c r="S5" s="13">
        <v>43405</v>
      </c>
      <c r="T5" s="13">
        <v>43435</v>
      </c>
      <c r="U5" s="13">
        <v>43466</v>
      </c>
      <c r="V5" s="13">
        <v>43497</v>
      </c>
      <c r="W5" s="13">
        <v>43525</v>
      </c>
      <c r="X5" s="13">
        <v>43556</v>
      </c>
      <c r="Y5" s="13">
        <v>43586</v>
      </c>
      <c r="Z5" s="13">
        <v>43617</v>
      </c>
      <c r="AA5" s="13">
        <v>43647</v>
      </c>
      <c r="AB5" s="13">
        <v>43678</v>
      </c>
      <c r="AC5" s="302">
        <v>43709</v>
      </c>
      <c r="AD5" s="302">
        <v>43739</v>
      </c>
      <c r="AE5" s="302">
        <v>43770</v>
      </c>
      <c r="AF5" s="302">
        <v>43800</v>
      </c>
      <c r="AG5" s="302">
        <v>43831</v>
      </c>
      <c r="AH5" s="302">
        <v>43862</v>
      </c>
      <c r="AI5" s="302">
        <v>43891</v>
      </c>
      <c r="AJ5" s="302">
        <v>43922</v>
      </c>
      <c r="AK5" s="302">
        <v>43952</v>
      </c>
      <c r="AL5" s="353">
        <v>43983</v>
      </c>
    </row>
    <row r="6" spans="1:38" x14ac:dyDescent="0.3">
      <c r="A6" s="5" t="s">
        <v>213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AC6" s="303"/>
      <c r="AD6" s="303"/>
      <c r="AE6" s="303"/>
      <c r="AF6" s="303"/>
      <c r="AG6" s="303"/>
      <c r="AH6" s="303"/>
      <c r="AI6" s="303"/>
      <c r="AJ6" s="303"/>
      <c r="AK6" s="303"/>
      <c r="AL6" s="354"/>
    </row>
    <row r="7" spans="1:38" x14ac:dyDescent="0.3">
      <c r="A7" s="5" t="s">
        <v>214</v>
      </c>
      <c r="B7" s="16">
        <v>8231</v>
      </c>
      <c r="C7" s="16">
        <v>8572</v>
      </c>
      <c r="D7" s="16">
        <v>9409</v>
      </c>
      <c r="E7" s="16">
        <v>10121</v>
      </c>
      <c r="F7" s="16">
        <v>10727</v>
      </c>
      <c r="G7" s="16">
        <v>10616</v>
      </c>
      <c r="H7" s="16">
        <v>10105</v>
      </c>
      <c r="I7" s="16">
        <v>9786</v>
      </c>
      <c r="J7" s="16">
        <v>11482</v>
      </c>
      <c r="K7" s="16">
        <v>16360</v>
      </c>
      <c r="L7" s="16">
        <v>20497</v>
      </c>
      <c r="M7" s="16">
        <v>19035</v>
      </c>
      <c r="N7" s="16">
        <v>22374</v>
      </c>
      <c r="O7" s="16">
        <v>26521</v>
      </c>
      <c r="P7" s="16">
        <v>29520</v>
      </c>
      <c r="Q7" s="16">
        <v>29387</v>
      </c>
      <c r="R7" s="16">
        <v>39744</v>
      </c>
      <c r="S7" s="16">
        <v>48090</v>
      </c>
      <c r="T7" s="16">
        <v>47725</v>
      </c>
      <c r="U7" s="16">
        <v>42046</v>
      </c>
      <c r="V7" s="16">
        <v>42618</v>
      </c>
      <c r="W7" s="16">
        <v>42992</v>
      </c>
      <c r="X7" s="16">
        <v>45575</v>
      </c>
      <c r="Y7" s="16">
        <v>46230</v>
      </c>
      <c r="Z7" s="16">
        <v>44456</v>
      </c>
      <c r="AA7" s="16">
        <v>46678</v>
      </c>
      <c r="AB7" s="16">
        <v>46267</v>
      </c>
      <c r="AC7" s="304">
        <v>44835</v>
      </c>
      <c r="AD7" s="304">
        <v>46722</v>
      </c>
      <c r="AE7" s="304">
        <v>42294</v>
      </c>
      <c r="AF7" s="304">
        <v>41963</v>
      </c>
      <c r="AG7" s="304">
        <v>40089</v>
      </c>
      <c r="AH7" s="304">
        <v>43116</v>
      </c>
      <c r="AI7" s="304">
        <v>47671</v>
      </c>
      <c r="AJ7" s="304">
        <v>45417</v>
      </c>
      <c r="AK7" s="304">
        <v>45244</v>
      </c>
      <c r="AL7" s="355">
        <v>54904</v>
      </c>
    </row>
    <row r="8" spans="1:38" x14ac:dyDescent="0.3">
      <c r="A8" s="5" t="s">
        <v>215</v>
      </c>
      <c r="B8" s="16">
        <v>8572</v>
      </c>
      <c r="C8" s="16">
        <v>9409</v>
      </c>
      <c r="D8" s="16">
        <v>10121</v>
      </c>
      <c r="E8" s="16">
        <v>10727</v>
      </c>
      <c r="F8" s="16">
        <v>10616</v>
      </c>
      <c r="G8" s="16">
        <v>10105</v>
      </c>
      <c r="H8" s="16">
        <v>9786</v>
      </c>
      <c r="I8" s="16">
        <v>11482</v>
      </c>
      <c r="J8" s="16">
        <v>16360</v>
      </c>
      <c r="K8" s="16">
        <v>20497</v>
      </c>
      <c r="L8" s="16">
        <v>19035</v>
      </c>
      <c r="M8" s="16">
        <v>22374</v>
      </c>
      <c r="N8" s="16">
        <v>26521</v>
      </c>
      <c r="O8" s="16">
        <v>29520</v>
      </c>
      <c r="P8" s="16">
        <v>29387</v>
      </c>
      <c r="Q8" s="16">
        <v>39744</v>
      </c>
      <c r="R8" s="16">
        <v>48090</v>
      </c>
      <c r="S8" s="16">
        <v>47725</v>
      </c>
      <c r="T8" s="16">
        <v>42046</v>
      </c>
      <c r="U8" s="16">
        <v>42618</v>
      </c>
      <c r="V8" s="16">
        <v>42992</v>
      </c>
      <c r="W8" s="16">
        <v>45575</v>
      </c>
      <c r="X8" s="16">
        <v>46230</v>
      </c>
      <c r="Y8" s="16">
        <v>44456</v>
      </c>
      <c r="Z8" s="16">
        <v>46678</v>
      </c>
      <c r="AA8" s="16">
        <v>46267</v>
      </c>
      <c r="AB8" s="16">
        <v>44835</v>
      </c>
      <c r="AC8" s="304">
        <v>46722</v>
      </c>
      <c r="AD8" s="304">
        <v>42294</v>
      </c>
      <c r="AE8" s="304">
        <v>41963</v>
      </c>
      <c r="AF8" s="304">
        <v>40089</v>
      </c>
      <c r="AG8" s="304">
        <v>43116</v>
      </c>
      <c r="AH8" s="304">
        <v>47671</v>
      </c>
      <c r="AI8" s="304">
        <v>45417</v>
      </c>
      <c r="AJ8" s="304">
        <v>45244</v>
      </c>
      <c r="AK8" s="304">
        <v>54904</v>
      </c>
      <c r="AL8" s="355">
        <v>59615</v>
      </c>
    </row>
    <row r="9" spans="1:38" x14ac:dyDescent="0.3">
      <c r="A9" s="5" t="s">
        <v>216</v>
      </c>
      <c r="B9" s="14">
        <f>B8-B7</f>
        <v>341</v>
      </c>
      <c r="C9" s="14">
        <f t="shared" ref="C9:AB9" si="0">C8-C7</f>
        <v>837</v>
      </c>
      <c r="D9" s="14">
        <f t="shared" si="0"/>
        <v>712</v>
      </c>
      <c r="E9" s="14">
        <f t="shared" si="0"/>
        <v>606</v>
      </c>
      <c r="F9" s="14">
        <f t="shared" si="0"/>
        <v>-111</v>
      </c>
      <c r="G9" s="14">
        <f t="shared" si="0"/>
        <v>-511</v>
      </c>
      <c r="H9" s="14">
        <f t="shared" si="0"/>
        <v>-319</v>
      </c>
      <c r="I9" s="14">
        <f t="shared" si="0"/>
        <v>1696</v>
      </c>
      <c r="J9" s="14">
        <f t="shared" si="0"/>
        <v>4878</v>
      </c>
      <c r="K9" s="14">
        <f t="shared" si="0"/>
        <v>4137</v>
      </c>
      <c r="L9" s="14">
        <f t="shared" si="0"/>
        <v>-1462</v>
      </c>
      <c r="M9" s="14">
        <f t="shared" si="0"/>
        <v>3339</v>
      </c>
      <c r="N9" s="14">
        <f t="shared" si="0"/>
        <v>4147</v>
      </c>
      <c r="O9" s="14">
        <f t="shared" si="0"/>
        <v>2999</v>
      </c>
      <c r="P9" s="14">
        <f t="shared" si="0"/>
        <v>-133</v>
      </c>
      <c r="Q9" s="14">
        <f t="shared" si="0"/>
        <v>10357</v>
      </c>
      <c r="R9" s="14">
        <f t="shared" si="0"/>
        <v>8346</v>
      </c>
      <c r="S9" s="14">
        <f t="shared" si="0"/>
        <v>-365</v>
      </c>
      <c r="T9" s="14">
        <f t="shared" si="0"/>
        <v>-5679</v>
      </c>
      <c r="U9" s="14">
        <f t="shared" si="0"/>
        <v>572</v>
      </c>
      <c r="V9" s="14">
        <f t="shared" si="0"/>
        <v>374</v>
      </c>
      <c r="W9" s="14">
        <f t="shared" si="0"/>
        <v>2583</v>
      </c>
      <c r="X9" s="14">
        <f t="shared" si="0"/>
        <v>655</v>
      </c>
      <c r="Y9" s="14">
        <f t="shared" si="0"/>
        <v>-1774</v>
      </c>
      <c r="Z9" s="14">
        <f t="shared" si="0"/>
        <v>2222</v>
      </c>
      <c r="AA9" s="14">
        <f t="shared" si="0"/>
        <v>-411</v>
      </c>
      <c r="AB9" s="14">
        <f t="shared" si="0"/>
        <v>-1432</v>
      </c>
      <c r="AC9" s="305">
        <v>1887</v>
      </c>
      <c r="AD9" s="305">
        <v>-4428</v>
      </c>
      <c r="AE9" s="305">
        <v>-331</v>
      </c>
      <c r="AF9" s="305">
        <v>-1874</v>
      </c>
      <c r="AG9" s="305">
        <v>3027</v>
      </c>
      <c r="AH9" s="305">
        <v>4555</v>
      </c>
      <c r="AI9" s="305">
        <v>-2254</v>
      </c>
      <c r="AJ9" s="305">
        <f t="shared" ref="AJ9:AK9" si="1">AJ8-AJ7</f>
        <v>-173</v>
      </c>
      <c r="AK9" s="305">
        <f t="shared" si="1"/>
        <v>9660</v>
      </c>
      <c r="AL9" s="356">
        <f t="shared" ref="AL9" si="2">AL8-AL7</f>
        <v>4711</v>
      </c>
    </row>
    <row r="10" spans="1:38" x14ac:dyDescent="0.3">
      <c r="A10" s="5" t="s">
        <v>217</v>
      </c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306"/>
      <c r="AD10" s="306"/>
      <c r="AE10" s="306"/>
      <c r="AF10" s="306"/>
      <c r="AG10" s="306"/>
      <c r="AH10" s="306"/>
      <c r="AI10" s="306"/>
      <c r="AJ10" s="306"/>
      <c r="AK10" s="306"/>
      <c r="AL10" s="357"/>
    </row>
    <row r="11" spans="1:38" x14ac:dyDescent="0.3">
      <c r="A11" s="5" t="s">
        <v>220</v>
      </c>
      <c r="B11" s="18">
        <v>2598</v>
      </c>
      <c r="C11" s="18">
        <v>3311</v>
      </c>
      <c r="D11" s="18">
        <v>3789</v>
      </c>
      <c r="E11" s="18">
        <v>3727</v>
      </c>
      <c r="F11" s="18">
        <v>3388</v>
      </c>
      <c r="G11" s="18">
        <v>3195</v>
      </c>
      <c r="H11" s="18">
        <v>2763</v>
      </c>
      <c r="I11" s="18">
        <v>5529</v>
      </c>
      <c r="J11" s="18">
        <v>8321</v>
      </c>
      <c r="K11" s="18">
        <v>10913</v>
      </c>
      <c r="L11" s="18">
        <v>6145</v>
      </c>
      <c r="M11" s="18">
        <v>10000</v>
      </c>
      <c r="N11" s="18">
        <v>12392</v>
      </c>
      <c r="O11" s="18">
        <v>13329</v>
      </c>
      <c r="P11" s="18">
        <v>8707</v>
      </c>
      <c r="Q11" s="18">
        <v>20315</v>
      </c>
      <c r="R11" s="18">
        <v>21397</v>
      </c>
      <c r="S11" s="18">
        <v>11604</v>
      </c>
      <c r="T11" s="18">
        <v>7658</v>
      </c>
      <c r="U11" s="18">
        <v>12860</v>
      </c>
      <c r="V11" s="18">
        <v>10142</v>
      </c>
      <c r="W11" s="18">
        <v>13018</v>
      </c>
      <c r="X11" s="18">
        <v>12499</v>
      </c>
      <c r="Y11" s="18">
        <v>9299</v>
      </c>
      <c r="Z11" s="18">
        <v>14218</v>
      </c>
      <c r="AA11" s="18">
        <v>14087</v>
      </c>
      <c r="AB11" s="18">
        <v>11544</v>
      </c>
      <c r="AC11" s="307">
        <v>13527</v>
      </c>
      <c r="AD11" s="307">
        <v>9522</v>
      </c>
      <c r="AE11" s="307">
        <v>9500</v>
      </c>
      <c r="AF11" s="307">
        <v>9614</v>
      </c>
      <c r="AG11" s="307">
        <v>15067</v>
      </c>
      <c r="AH11" s="307">
        <v>15001</v>
      </c>
      <c r="AI11" s="307">
        <v>10040</v>
      </c>
      <c r="AJ11" s="307">
        <v>7060</v>
      </c>
      <c r="AK11" s="307">
        <v>18754</v>
      </c>
      <c r="AL11" s="358">
        <v>18407</v>
      </c>
    </row>
    <row r="12" spans="1:38" x14ac:dyDescent="0.3">
      <c r="A12" s="5" t="s">
        <v>222</v>
      </c>
      <c r="B12" s="16">
        <v>2257</v>
      </c>
      <c r="C12" s="16">
        <v>2474</v>
      </c>
      <c r="D12" s="16">
        <v>3077</v>
      </c>
      <c r="E12" s="16">
        <v>3121</v>
      </c>
      <c r="F12" s="16">
        <v>3499</v>
      </c>
      <c r="G12" s="16">
        <v>3706</v>
      </c>
      <c r="H12" s="16">
        <v>3082</v>
      </c>
      <c r="I12" s="16">
        <v>3833</v>
      </c>
      <c r="J12" s="16">
        <v>3443</v>
      </c>
      <c r="K12" s="16">
        <v>6776</v>
      </c>
      <c r="L12" s="16">
        <v>7607</v>
      </c>
      <c r="M12" s="16">
        <v>6661</v>
      </c>
      <c r="N12" s="16">
        <v>8245</v>
      </c>
      <c r="O12" s="16">
        <v>10330</v>
      </c>
      <c r="P12" s="16">
        <v>8840</v>
      </c>
      <c r="Q12" s="16">
        <v>9958</v>
      </c>
      <c r="R12" s="16">
        <v>13051</v>
      </c>
      <c r="S12" s="16">
        <v>11969</v>
      </c>
      <c r="T12" s="16">
        <v>13337</v>
      </c>
      <c r="U12" s="16">
        <v>12288</v>
      </c>
      <c r="V12" s="16">
        <v>9768</v>
      </c>
      <c r="W12" s="16">
        <v>10435</v>
      </c>
      <c r="X12" s="16">
        <v>11844</v>
      </c>
      <c r="Y12" s="16">
        <v>11073</v>
      </c>
      <c r="Z12" s="16">
        <v>11996</v>
      </c>
      <c r="AA12" s="16">
        <v>14498</v>
      </c>
      <c r="AB12" s="16">
        <v>12976</v>
      </c>
      <c r="AC12" s="304">
        <v>11640</v>
      </c>
      <c r="AD12" s="304">
        <v>13950</v>
      </c>
      <c r="AE12" s="304">
        <v>9831</v>
      </c>
      <c r="AF12" s="304">
        <v>11488</v>
      </c>
      <c r="AG12" s="304">
        <v>12040</v>
      </c>
      <c r="AH12" s="304">
        <v>10446</v>
      </c>
      <c r="AI12" s="304">
        <v>12294</v>
      </c>
      <c r="AJ12" s="304">
        <v>7233</v>
      </c>
      <c r="AK12" s="304">
        <v>9094</v>
      </c>
      <c r="AL12" s="355">
        <v>13696</v>
      </c>
    </row>
    <row r="13" spans="1:38" x14ac:dyDescent="0.3">
      <c r="A13" s="5" t="s">
        <v>228</v>
      </c>
      <c r="B13" s="15">
        <f t="shared" ref="B13:AB13" si="3">B12/(B11+B7)</f>
        <v>0.20842183027056976</v>
      </c>
      <c r="C13" s="15">
        <f t="shared" si="3"/>
        <v>0.2081965833543718</v>
      </c>
      <c r="D13" s="15">
        <f t="shared" si="3"/>
        <v>0.23314138505834217</v>
      </c>
      <c r="E13" s="15">
        <f t="shared" si="3"/>
        <v>0.22537550548815713</v>
      </c>
      <c r="F13" s="15">
        <f t="shared" si="3"/>
        <v>0.24789231314204746</v>
      </c>
      <c r="G13" s="15">
        <f t="shared" si="3"/>
        <v>0.26833683295923538</v>
      </c>
      <c r="H13" s="15">
        <f t="shared" si="3"/>
        <v>0.23950885918557663</v>
      </c>
      <c r="I13" s="15">
        <f t="shared" si="3"/>
        <v>0.25027750571335294</v>
      </c>
      <c r="J13" s="15">
        <f t="shared" si="3"/>
        <v>0.17386254607887694</v>
      </c>
      <c r="K13" s="15">
        <f t="shared" si="3"/>
        <v>0.24845084882484508</v>
      </c>
      <c r="L13" s="15">
        <f t="shared" si="3"/>
        <v>0.2855266121162075</v>
      </c>
      <c r="M13" s="15">
        <f t="shared" si="3"/>
        <v>0.2294127776821078</v>
      </c>
      <c r="N13" s="15">
        <f t="shared" si="3"/>
        <v>0.23715699246390151</v>
      </c>
      <c r="O13" s="15">
        <f t="shared" si="3"/>
        <v>0.25922208281053954</v>
      </c>
      <c r="P13" s="15">
        <f t="shared" si="3"/>
        <v>0.23125016349700472</v>
      </c>
      <c r="Q13" s="15">
        <f t="shared" si="3"/>
        <v>0.20035411049857149</v>
      </c>
      <c r="R13" s="15">
        <f t="shared" si="3"/>
        <v>0.21345741809914787</v>
      </c>
      <c r="S13" s="15">
        <f t="shared" si="3"/>
        <v>0.20050591349214325</v>
      </c>
      <c r="T13" s="15">
        <f t="shared" si="3"/>
        <v>0.24081396818518319</v>
      </c>
      <c r="U13" s="15">
        <f t="shared" si="3"/>
        <v>0.22380067752158234</v>
      </c>
      <c r="V13" s="15">
        <f t="shared" si="3"/>
        <v>0.18514025777103865</v>
      </c>
      <c r="W13" s="15">
        <f t="shared" si="3"/>
        <v>0.18630601678271738</v>
      </c>
      <c r="X13" s="15">
        <f t="shared" si="3"/>
        <v>0.20394668870751112</v>
      </c>
      <c r="Y13" s="15">
        <f t="shared" si="3"/>
        <v>0.19940931765383854</v>
      </c>
      <c r="Z13" s="15">
        <f t="shared" si="3"/>
        <v>0.20445171626273989</v>
      </c>
      <c r="AA13" s="15">
        <f t="shared" si="3"/>
        <v>0.23859129433061796</v>
      </c>
      <c r="AB13" s="15">
        <f t="shared" si="3"/>
        <v>0.2244555534413866</v>
      </c>
      <c r="AC13" s="308">
        <v>0.2</v>
      </c>
      <c r="AD13" s="308">
        <v>0.25</v>
      </c>
      <c r="AE13" s="308">
        <v>0.19</v>
      </c>
      <c r="AF13" s="308">
        <v>0.22</v>
      </c>
      <c r="AG13" s="308">
        <v>0.22</v>
      </c>
      <c r="AH13" s="308">
        <v>0.18</v>
      </c>
      <c r="AI13" s="308">
        <v>0.21</v>
      </c>
      <c r="AJ13" s="308">
        <f t="shared" ref="AJ13:AK13" si="4">AJ12/(AJ11+AJ7)</f>
        <v>0.13783181203193781</v>
      </c>
      <c r="AK13" s="308">
        <f t="shared" si="4"/>
        <v>0.14209819056845527</v>
      </c>
      <c r="AL13" s="359">
        <f t="shared" ref="AL13" si="5">AL12/(AL11+AL7)</f>
        <v>0.18682053170738361</v>
      </c>
    </row>
    <row r="14" spans="1:38" x14ac:dyDescent="0.3">
      <c r="A14" s="5" t="s">
        <v>218</v>
      </c>
      <c r="B14" s="18"/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307"/>
      <c r="AD14" s="307"/>
      <c r="AE14" s="307"/>
      <c r="AF14" s="307"/>
      <c r="AG14" s="307"/>
      <c r="AH14" s="307"/>
      <c r="AI14" s="307"/>
      <c r="AJ14" s="307"/>
      <c r="AK14" s="307"/>
      <c r="AL14" s="358"/>
    </row>
    <row r="15" spans="1:38" x14ac:dyDescent="0.3">
      <c r="A15" s="5" t="s">
        <v>221</v>
      </c>
      <c r="B15" s="16">
        <v>10473</v>
      </c>
      <c r="C15" s="16">
        <v>10858</v>
      </c>
      <c r="D15" s="16">
        <v>12998</v>
      </c>
      <c r="E15" s="16">
        <v>12099</v>
      </c>
      <c r="F15" s="16">
        <v>13467</v>
      </c>
      <c r="G15" s="16">
        <v>12571</v>
      </c>
      <c r="H15" s="16">
        <v>11565</v>
      </c>
      <c r="I15" s="16">
        <v>12708</v>
      </c>
      <c r="J15" s="16">
        <v>12825</v>
      </c>
      <c r="K15" s="16">
        <v>26350</v>
      </c>
      <c r="L15" s="16">
        <v>25166</v>
      </c>
      <c r="M15" s="16">
        <v>24819</v>
      </c>
      <c r="N15" s="16">
        <v>29499</v>
      </c>
      <c r="O15" s="16">
        <v>30699</v>
      </c>
      <c r="P15" s="16">
        <v>31534</v>
      </c>
      <c r="Q15" s="16">
        <v>34320</v>
      </c>
      <c r="R15" s="16">
        <v>45585</v>
      </c>
      <c r="S15" s="16">
        <v>42517</v>
      </c>
      <c r="T15" s="16">
        <v>42981</v>
      </c>
      <c r="U15" s="16">
        <v>51323</v>
      </c>
      <c r="V15" s="16">
        <v>43649</v>
      </c>
      <c r="W15" s="16">
        <v>49603</v>
      </c>
      <c r="X15" s="16">
        <v>47270</v>
      </c>
      <c r="Y15" s="16">
        <v>49135</v>
      </c>
      <c r="Z15" s="16">
        <v>48725</v>
      </c>
      <c r="AA15" s="16">
        <v>54705</v>
      </c>
      <c r="AB15" s="16">
        <v>50857</v>
      </c>
      <c r="AC15" s="304">
        <v>45400</v>
      </c>
      <c r="AD15" s="304">
        <v>52505</v>
      </c>
      <c r="AE15" s="304">
        <v>44619</v>
      </c>
      <c r="AF15" s="304">
        <v>43101</v>
      </c>
      <c r="AG15" s="304">
        <v>49376</v>
      </c>
      <c r="AH15" s="304">
        <v>46496</v>
      </c>
      <c r="AI15" s="304">
        <v>43701</v>
      </c>
      <c r="AJ15" s="304">
        <v>33189</v>
      </c>
      <c r="AK15" s="304">
        <v>50154</v>
      </c>
      <c r="AL15" s="355">
        <v>52753</v>
      </c>
    </row>
    <row r="16" spans="1:38" x14ac:dyDescent="0.3">
      <c r="A16" s="5" t="s">
        <v>237</v>
      </c>
      <c r="B16" s="19"/>
      <c r="C16" s="19"/>
      <c r="D16" s="18">
        <v>52598</v>
      </c>
      <c r="E16" s="18">
        <v>47302</v>
      </c>
      <c r="F16" s="18">
        <v>51962</v>
      </c>
      <c r="G16" s="18">
        <v>50168</v>
      </c>
      <c r="H16" s="18">
        <v>50242</v>
      </c>
      <c r="I16" s="18">
        <v>56070</v>
      </c>
      <c r="J16" s="18">
        <v>56292</v>
      </c>
      <c r="K16" s="18">
        <v>107176</v>
      </c>
      <c r="L16" s="18">
        <v>122081</v>
      </c>
      <c r="M16" s="18">
        <v>131452</v>
      </c>
      <c r="N16" s="18">
        <v>152317</v>
      </c>
      <c r="O16" s="18">
        <v>165713</v>
      </c>
      <c r="P16" s="18">
        <v>199774</v>
      </c>
      <c r="Q16" s="18">
        <v>211654</v>
      </c>
      <c r="R16" s="18">
        <v>287338</v>
      </c>
      <c r="S16" s="18">
        <v>275248</v>
      </c>
      <c r="T16" s="18">
        <v>296999</v>
      </c>
      <c r="U16" s="18">
        <v>363040</v>
      </c>
      <c r="V16" s="18">
        <v>303230</v>
      </c>
      <c r="W16" s="18">
        <v>344442</v>
      </c>
      <c r="X16" s="18">
        <v>330562</v>
      </c>
      <c r="Y16" s="18">
        <v>347333</v>
      </c>
      <c r="Z16" s="18">
        <v>331752</v>
      </c>
      <c r="AA16" s="18">
        <v>387547</v>
      </c>
      <c r="AB16" s="18">
        <v>363015</v>
      </c>
      <c r="AC16" s="307">
        <v>320230</v>
      </c>
      <c r="AD16" s="307">
        <v>373497</v>
      </c>
      <c r="AE16" s="307">
        <v>318388</v>
      </c>
      <c r="AF16" s="307">
        <v>315966</v>
      </c>
      <c r="AG16" s="307">
        <v>355026</v>
      </c>
      <c r="AH16" s="307">
        <v>354422</v>
      </c>
      <c r="AI16" s="307">
        <v>355024</v>
      </c>
      <c r="AJ16" s="307">
        <v>275444</v>
      </c>
      <c r="AK16" s="307">
        <v>389849</v>
      </c>
      <c r="AL16" s="358">
        <v>406659</v>
      </c>
    </row>
    <row r="17" spans="1:38" x14ac:dyDescent="0.3">
      <c r="A17" s="5" t="s">
        <v>219</v>
      </c>
      <c r="B17" s="20">
        <v>28430</v>
      </c>
      <c r="C17" s="20">
        <v>25206</v>
      </c>
      <c r="D17" s="18">
        <v>32995</v>
      </c>
      <c r="E17" s="18">
        <v>29145</v>
      </c>
      <c r="F17" s="18">
        <v>31702</v>
      </c>
      <c r="G17" s="18">
        <v>28749</v>
      </c>
      <c r="H17" s="18">
        <v>25747</v>
      </c>
      <c r="I17" s="18">
        <v>33946</v>
      </c>
      <c r="J17" s="18">
        <v>28593</v>
      </c>
      <c r="K17" s="18">
        <v>44750</v>
      </c>
      <c r="L17" s="18">
        <v>67852</v>
      </c>
      <c r="M17" s="18">
        <v>71942</v>
      </c>
      <c r="N17" s="18">
        <v>84700</v>
      </c>
      <c r="O17" s="18">
        <v>81100</v>
      </c>
      <c r="P17" s="18">
        <v>117403</v>
      </c>
      <c r="Q17" s="18">
        <v>130550</v>
      </c>
      <c r="R17" s="18">
        <v>162936</v>
      </c>
      <c r="S17" s="18">
        <v>169651</v>
      </c>
      <c r="T17" s="18">
        <v>171043</v>
      </c>
      <c r="U17" s="18">
        <v>249660</v>
      </c>
      <c r="V17" s="18">
        <v>202474</v>
      </c>
      <c r="W17" s="18">
        <v>218579</v>
      </c>
      <c r="X17" s="18">
        <v>227734</v>
      </c>
      <c r="Y17" s="18">
        <v>231369</v>
      </c>
      <c r="Z17" s="18">
        <v>230010</v>
      </c>
      <c r="AA17" s="18">
        <v>255528</v>
      </c>
      <c r="AB17" s="18">
        <v>256205</v>
      </c>
      <c r="AC17" s="307">
        <v>224750</v>
      </c>
      <c r="AD17" s="307">
        <v>259119</v>
      </c>
      <c r="AE17" s="307">
        <v>206791</v>
      </c>
      <c r="AF17" s="307">
        <v>224094</v>
      </c>
      <c r="AG17" s="307">
        <v>246459</v>
      </c>
      <c r="AH17" s="307">
        <v>233260</v>
      </c>
      <c r="AI17" s="307">
        <v>233568</v>
      </c>
      <c r="AJ17" s="307">
        <v>208611</v>
      </c>
      <c r="AK17" s="307">
        <v>162565</v>
      </c>
      <c r="AL17" s="358">
        <v>223662</v>
      </c>
    </row>
    <row r="18" spans="1:38" x14ac:dyDescent="0.3">
      <c r="A18" s="5" t="s">
        <v>236</v>
      </c>
      <c r="B18" s="19"/>
      <c r="C18" s="19"/>
      <c r="D18" s="14">
        <f>D16-D17</f>
        <v>19603</v>
      </c>
      <c r="E18" s="14">
        <f t="shared" ref="E18:AB18" si="6">E16-E17</f>
        <v>18157</v>
      </c>
      <c r="F18" s="14">
        <f t="shared" si="6"/>
        <v>20260</v>
      </c>
      <c r="G18" s="14">
        <f t="shared" si="6"/>
        <v>21419</v>
      </c>
      <c r="H18" s="14">
        <f t="shared" si="6"/>
        <v>24495</v>
      </c>
      <c r="I18" s="14">
        <f t="shared" si="6"/>
        <v>22124</v>
      </c>
      <c r="J18" s="14">
        <f t="shared" si="6"/>
        <v>27699</v>
      </c>
      <c r="K18" s="14">
        <f t="shared" si="6"/>
        <v>62426</v>
      </c>
      <c r="L18" s="14">
        <f t="shared" si="6"/>
        <v>54229</v>
      </c>
      <c r="M18" s="14">
        <f t="shared" si="6"/>
        <v>59510</v>
      </c>
      <c r="N18" s="14">
        <f t="shared" si="6"/>
        <v>67617</v>
      </c>
      <c r="O18" s="14">
        <f t="shared" si="6"/>
        <v>84613</v>
      </c>
      <c r="P18" s="14">
        <f t="shared" si="6"/>
        <v>82371</v>
      </c>
      <c r="Q18" s="14">
        <f t="shared" si="6"/>
        <v>81104</v>
      </c>
      <c r="R18" s="14">
        <f t="shared" si="6"/>
        <v>124402</v>
      </c>
      <c r="S18" s="14">
        <f t="shared" si="6"/>
        <v>105597</v>
      </c>
      <c r="T18" s="14">
        <f t="shared" si="6"/>
        <v>125956</v>
      </c>
      <c r="U18" s="14">
        <f t="shared" si="6"/>
        <v>113380</v>
      </c>
      <c r="V18" s="14">
        <f t="shared" si="6"/>
        <v>100756</v>
      </c>
      <c r="W18" s="14">
        <f t="shared" si="6"/>
        <v>125863</v>
      </c>
      <c r="X18" s="14">
        <f t="shared" si="6"/>
        <v>102828</v>
      </c>
      <c r="Y18" s="14">
        <f t="shared" si="6"/>
        <v>115964</v>
      </c>
      <c r="Z18" s="14">
        <f t="shared" si="6"/>
        <v>101742</v>
      </c>
      <c r="AA18" s="14">
        <f t="shared" si="6"/>
        <v>132019</v>
      </c>
      <c r="AB18" s="14">
        <f t="shared" si="6"/>
        <v>106810</v>
      </c>
      <c r="AC18" s="305">
        <v>95480</v>
      </c>
      <c r="AD18" s="305">
        <v>114378</v>
      </c>
      <c r="AE18" s="305">
        <v>111597</v>
      </c>
      <c r="AF18" s="305">
        <v>91872</v>
      </c>
      <c r="AG18" s="305">
        <v>108567</v>
      </c>
      <c r="AH18" s="305">
        <v>121162</v>
      </c>
      <c r="AI18" s="305">
        <v>121456</v>
      </c>
      <c r="AJ18" s="305">
        <f t="shared" ref="AJ18:AK18" si="7">AJ16-AJ17</f>
        <v>66833</v>
      </c>
      <c r="AK18" s="305">
        <f t="shared" si="7"/>
        <v>227284</v>
      </c>
      <c r="AL18" s="356">
        <f t="shared" ref="AL18" si="8">AL16-AL17</f>
        <v>182997</v>
      </c>
    </row>
    <row r="19" spans="1:38" x14ac:dyDescent="0.3">
      <c r="A19" s="5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</row>
    <row r="20" spans="1:38" x14ac:dyDescent="0.3">
      <c r="A20" s="12" t="s">
        <v>211</v>
      </c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3" tint="0.79998168889431442"/>
  </sheetPr>
  <dimension ref="A1"/>
  <sheetViews>
    <sheetView workbookViewId="0"/>
  </sheetViews>
  <sheetFormatPr defaultColWidth="9" defaultRowHeight="14.4" x14ac:dyDescent="0.3"/>
  <cols>
    <col min="1" max="16384" width="9" style="1"/>
  </cols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5" tint="0.79998168889431442"/>
  </sheetPr>
  <dimension ref="A1:H117"/>
  <sheetViews>
    <sheetView workbookViewId="0">
      <selection sqref="A1:H1"/>
    </sheetView>
  </sheetViews>
  <sheetFormatPr defaultRowHeight="14.4" x14ac:dyDescent="0.3"/>
  <cols>
    <col min="1" max="1" width="37.77734375" customWidth="1"/>
    <col min="2" max="7" width="12" customWidth="1"/>
    <col min="8" max="8" width="13.77734375" customWidth="1"/>
  </cols>
  <sheetData>
    <row r="1" spans="1:8" ht="17.399999999999999" x14ac:dyDescent="0.3">
      <c r="A1" s="370" t="s">
        <v>1</v>
      </c>
      <c r="B1" s="371"/>
      <c r="C1" s="371"/>
      <c r="D1" s="371"/>
      <c r="E1" s="371"/>
      <c r="F1" s="371"/>
      <c r="G1" s="371"/>
      <c r="H1" s="371"/>
    </row>
    <row r="2" spans="1:8" ht="17.399999999999999" x14ac:dyDescent="0.3">
      <c r="A2" s="370" t="s">
        <v>2</v>
      </c>
      <c r="B2" s="371"/>
      <c r="C2" s="371"/>
      <c r="D2" s="371"/>
      <c r="E2" s="371"/>
      <c r="F2" s="371"/>
      <c r="G2" s="371"/>
      <c r="H2" s="371"/>
    </row>
    <row r="3" spans="1:8" x14ac:dyDescent="0.3">
      <c r="A3" s="372" t="s">
        <v>511</v>
      </c>
      <c r="B3" s="371"/>
      <c r="C3" s="371"/>
      <c r="D3" s="371"/>
      <c r="E3" s="371"/>
      <c r="F3" s="371"/>
      <c r="G3" s="371"/>
      <c r="H3" s="371"/>
    </row>
    <row r="5" spans="1:8" x14ac:dyDescent="0.3">
      <c r="A5" s="351"/>
      <c r="B5" s="347" t="s">
        <v>471</v>
      </c>
      <c r="C5" s="347" t="s">
        <v>472</v>
      </c>
      <c r="D5" s="347" t="s">
        <v>473</v>
      </c>
      <c r="E5" s="347" t="s">
        <v>482</v>
      </c>
      <c r="F5" s="347" t="s">
        <v>483</v>
      </c>
      <c r="G5" s="347" t="s">
        <v>510</v>
      </c>
      <c r="H5" s="347" t="s">
        <v>16</v>
      </c>
    </row>
    <row r="6" spans="1:8" x14ac:dyDescent="0.3">
      <c r="A6" s="352" t="s">
        <v>17</v>
      </c>
      <c r="B6" s="348"/>
      <c r="C6" s="348"/>
      <c r="D6" s="348"/>
      <c r="E6" s="348"/>
      <c r="F6" s="348"/>
      <c r="G6" s="348"/>
      <c r="H6" s="348"/>
    </row>
    <row r="7" spans="1:8" x14ac:dyDescent="0.3">
      <c r="A7" s="352" t="s">
        <v>18</v>
      </c>
      <c r="B7" s="349">
        <f>2588924.32</f>
        <v>2588924.3199999998</v>
      </c>
      <c r="C7" s="349">
        <f>2293243.14</f>
        <v>2293243.14</v>
      </c>
      <c r="D7" s="349">
        <f>2858758.31</f>
        <v>2858758.31</v>
      </c>
      <c r="E7" s="349">
        <f>2872051.65</f>
        <v>2872051.65</v>
      </c>
      <c r="F7" s="349">
        <f>2748936.36</f>
        <v>2748936.36</v>
      </c>
      <c r="G7" s="349">
        <f>3343337.59</f>
        <v>3343337.59</v>
      </c>
      <c r="H7" s="349">
        <f>(((((B7)+(C7))+(D7))+(E7))+(F7))+(G7)</f>
        <v>16705251.369999999</v>
      </c>
    </row>
    <row r="8" spans="1:8" x14ac:dyDescent="0.3">
      <c r="A8" s="352" t="s">
        <v>19</v>
      </c>
      <c r="B8" s="349">
        <f>-371489.01</f>
        <v>-371489.01</v>
      </c>
      <c r="C8" s="349">
        <f>-241971.03</f>
        <v>-241971.03</v>
      </c>
      <c r="D8" s="349">
        <f>-265750.83</f>
        <v>-265750.83</v>
      </c>
      <c r="E8" s="349">
        <f>-240045.95</f>
        <v>-240045.95</v>
      </c>
      <c r="F8" s="349">
        <f>-238502.97</f>
        <v>-238502.97</v>
      </c>
      <c r="G8" s="349">
        <f>-517562.84</f>
        <v>-517562.84</v>
      </c>
      <c r="H8" s="349">
        <f>(((((B8)+(C8))+(D8))+(E8))+(F8))+(G8)</f>
        <v>-1875322.6300000001</v>
      </c>
    </row>
    <row r="9" spans="1:8" x14ac:dyDescent="0.3">
      <c r="A9" s="352" t="s">
        <v>20</v>
      </c>
      <c r="B9" s="350">
        <f t="shared" ref="B9:G9" si="0">(B7)+(B8)</f>
        <v>2217435.3099999996</v>
      </c>
      <c r="C9" s="350">
        <f t="shared" si="0"/>
        <v>2051272.11</v>
      </c>
      <c r="D9" s="350">
        <f t="shared" si="0"/>
        <v>2593007.48</v>
      </c>
      <c r="E9" s="350">
        <f t="shared" si="0"/>
        <v>2632005.6999999997</v>
      </c>
      <c r="F9" s="350">
        <f t="shared" si="0"/>
        <v>2510433.3899999997</v>
      </c>
      <c r="G9" s="350">
        <f t="shared" si="0"/>
        <v>2825774.75</v>
      </c>
      <c r="H9" s="350">
        <f>(((((B9)+(C9))+(D9))+(E9))+(F9))+(G9)</f>
        <v>14829928.739999998</v>
      </c>
    </row>
    <row r="10" spans="1:8" x14ac:dyDescent="0.3">
      <c r="A10" s="352" t="s">
        <v>21</v>
      </c>
      <c r="B10" s="348"/>
      <c r="C10" s="348"/>
      <c r="D10" s="348"/>
      <c r="E10" s="348"/>
      <c r="F10" s="348"/>
      <c r="G10" s="348"/>
      <c r="H10" s="348"/>
    </row>
    <row r="11" spans="1:8" x14ac:dyDescent="0.3">
      <c r="A11" s="352" t="s">
        <v>22</v>
      </c>
      <c r="B11" s="349">
        <f>478987.47</f>
        <v>478987.47</v>
      </c>
      <c r="C11" s="349">
        <f>440405.6</f>
        <v>440405.6</v>
      </c>
      <c r="D11" s="349">
        <f>510733.4</f>
        <v>510733.4</v>
      </c>
      <c r="E11" s="349">
        <f>455216.79</f>
        <v>455216.79</v>
      </c>
      <c r="F11" s="349">
        <f>480841.88</f>
        <v>480841.88</v>
      </c>
      <c r="G11" s="349">
        <f>586275.13</f>
        <v>586275.13</v>
      </c>
      <c r="H11" s="349">
        <f t="shared" ref="H11:H23" si="1">(((((B11)+(C11))+(D11))+(E11))+(F11))+(G11)</f>
        <v>2952460.27</v>
      </c>
    </row>
    <row r="12" spans="1:8" x14ac:dyDescent="0.3">
      <c r="A12" s="352" t="s">
        <v>23</v>
      </c>
      <c r="B12" s="349">
        <f>70873.82</f>
        <v>70873.820000000007</v>
      </c>
      <c r="C12" s="349">
        <f>66154.79</f>
        <v>66154.789999999994</v>
      </c>
      <c r="D12" s="349">
        <f>77209.89</f>
        <v>77209.89</v>
      </c>
      <c r="E12" s="349">
        <f>61537.95</f>
        <v>61537.95</v>
      </c>
      <c r="F12" s="349">
        <f>74751.17</f>
        <v>74751.17</v>
      </c>
      <c r="G12" s="349">
        <f>88406.53</f>
        <v>88406.53</v>
      </c>
      <c r="H12" s="349">
        <f t="shared" si="1"/>
        <v>438934.15</v>
      </c>
    </row>
    <row r="13" spans="1:8" x14ac:dyDescent="0.3">
      <c r="A13" s="352" t="s">
        <v>24</v>
      </c>
      <c r="B13" s="348"/>
      <c r="C13" s="348"/>
      <c r="D13" s="348"/>
      <c r="E13" s="348"/>
      <c r="F13" s="348"/>
      <c r="G13" s="348"/>
      <c r="H13" s="349">
        <f t="shared" si="1"/>
        <v>0</v>
      </c>
    </row>
    <row r="14" spans="1:8" x14ac:dyDescent="0.3">
      <c r="A14" s="352" t="s">
        <v>25</v>
      </c>
      <c r="B14" s="348"/>
      <c r="C14" s="348"/>
      <c r="D14" s="348"/>
      <c r="E14" s="348"/>
      <c r="F14" s="349">
        <f>45.41</f>
        <v>45.41</v>
      </c>
      <c r="G14" s="349">
        <f>-3.62</f>
        <v>-3.62</v>
      </c>
      <c r="H14" s="349">
        <f t="shared" si="1"/>
        <v>41.79</v>
      </c>
    </row>
    <row r="15" spans="1:8" x14ac:dyDescent="0.3">
      <c r="A15" s="352" t="s">
        <v>26</v>
      </c>
      <c r="B15" s="349">
        <f>85.2</f>
        <v>85.2</v>
      </c>
      <c r="C15" s="349">
        <f>84.95</f>
        <v>84.95</v>
      </c>
      <c r="D15" s="349">
        <f>84.95</f>
        <v>84.95</v>
      </c>
      <c r="E15" s="349">
        <f>84.95</f>
        <v>84.95</v>
      </c>
      <c r="F15" s="349">
        <f>84.95</f>
        <v>84.95</v>
      </c>
      <c r="G15" s="349">
        <f>84.95</f>
        <v>84.95</v>
      </c>
      <c r="H15" s="349">
        <f t="shared" si="1"/>
        <v>509.95</v>
      </c>
    </row>
    <row r="16" spans="1:8" x14ac:dyDescent="0.3">
      <c r="A16" s="352" t="s">
        <v>27</v>
      </c>
      <c r="B16" s="349">
        <f>428501.74</f>
        <v>428501.74</v>
      </c>
      <c r="C16" s="349">
        <f>635116.5</f>
        <v>635116.5</v>
      </c>
      <c r="D16" s="349">
        <f>584924.6</f>
        <v>584924.6</v>
      </c>
      <c r="E16" s="349">
        <f>471690.29</f>
        <v>471690.29</v>
      </c>
      <c r="F16" s="349">
        <f>437843.61</f>
        <v>437843.61</v>
      </c>
      <c r="G16" s="349">
        <f>371201.42</f>
        <v>371201.42</v>
      </c>
      <c r="H16" s="349">
        <f t="shared" si="1"/>
        <v>2929278.1599999997</v>
      </c>
    </row>
    <row r="17" spans="1:8" x14ac:dyDescent="0.3">
      <c r="A17" s="352" t="s">
        <v>28</v>
      </c>
      <c r="B17" s="349">
        <f>24635.6</f>
        <v>24635.599999999999</v>
      </c>
      <c r="C17" s="349">
        <f>11957.4</f>
        <v>11957.4</v>
      </c>
      <c r="D17" s="349">
        <f>21198.5</f>
        <v>21198.5</v>
      </c>
      <c r="E17" s="349">
        <f>1140.67</f>
        <v>1140.67</v>
      </c>
      <c r="F17" s="349">
        <f>14038.33</f>
        <v>14038.33</v>
      </c>
      <c r="G17" s="349">
        <f>18096.07</f>
        <v>18096.07</v>
      </c>
      <c r="H17" s="349">
        <f t="shared" si="1"/>
        <v>91066.57</v>
      </c>
    </row>
    <row r="18" spans="1:8" x14ac:dyDescent="0.3">
      <c r="A18" s="352" t="s">
        <v>30</v>
      </c>
      <c r="B18" s="350">
        <f t="shared" ref="B18:G18" si="2">((((B13)+(B14))+(B15))+(B16))+(B17)</f>
        <v>453222.54</v>
      </c>
      <c r="C18" s="350">
        <f t="shared" si="2"/>
        <v>647158.85</v>
      </c>
      <c r="D18" s="350">
        <f t="shared" si="2"/>
        <v>606208.04999999993</v>
      </c>
      <c r="E18" s="350">
        <f t="shared" si="2"/>
        <v>472915.91</v>
      </c>
      <c r="F18" s="350">
        <f t="shared" si="2"/>
        <v>452012.3</v>
      </c>
      <c r="G18" s="350">
        <f t="shared" si="2"/>
        <v>389378.82</v>
      </c>
      <c r="H18" s="350">
        <f t="shared" si="1"/>
        <v>3020896.4699999997</v>
      </c>
    </row>
    <row r="19" spans="1:8" x14ac:dyDescent="0.3">
      <c r="A19" s="352" t="s">
        <v>31</v>
      </c>
      <c r="B19" s="349">
        <f>101725.29</f>
        <v>101725.29</v>
      </c>
      <c r="C19" s="349">
        <f>85643.83</f>
        <v>85643.83</v>
      </c>
      <c r="D19" s="349">
        <f>84045.05</f>
        <v>84045.05</v>
      </c>
      <c r="E19" s="349">
        <f>97117.73</f>
        <v>97117.73</v>
      </c>
      <c r="F19" s="349">
        <f>75101.07</f>
        <v>75101.070000000007</v>
      </c>
      <c r="G19" s="349">
        <f>77488.11</f>
        <v>77488.11</v>
      </c>
      <c r="H19" s="349">
        <f t="shared" si="1"/>
        <v>521121.07999999996</v>
      </c>
    </row>
    <row r="20" spans="1:8" x14ac:dyDescent="0.3">
      <c r="A20" s="352" t="s">
        <v>32</v>
      </c>
      <c r="B20" s="349">
        <f>52715.75</f>
        <v>52715.75</v>
      </c>
      <c r="C20" s="349">
        <f>62378.82</f>
        <v>62378.82</v>
      </c>
      <c r="D20" s="349">
        <f>50012.88</f>
        <v>50012.88</v>
      </c>
      <c r="E20" s="349">
        <f>56950.46</f>
        <v>56950.46</v>
      </c>
      <c r="F20" s="349">
        <f>71224.48</f>
        <v>71224.479999999996</v>
      </c>
      <c r="G20" s="349">
        <f>45943.1</f>
        <v>45943.1</v>
      </c>
      <c r="H20" s="349">
        <f t="shared" si="1"/>
        <v>339225.49</v>
      </c>
    </row>
    <row r="21" spans="1:8" x14ac:dyDescent="0.3">
      <c r="A21" s="352" t="s">
        <v>33</v>
      </c>
      <c r="B21" s="349">
        <f>26159.24</f>
        <v>26159.24</v>
      </c>
      <c r="C21" s="349">
        <f>26786.69</f>
        <v>26786.69</v>
      </c>
      <c r="D21" s="349">
        <f>38662.21</f>
        <v>38662.21</v>
      </c>
      <c r="E21" s="349">
        <f>97890.6</f>
        <v>97890.6</v>
      </c>
      <c r="F21" s="349">
        <f>70365.23</f>
        <v>70365.23</v>
      </c>
      <c r="G21" s="348"/>
      <c r="H21" s="349">
        <f t="shared" si="1"/>
        <v>259863.96999999997</v>
      </c>
    </row>
    <row r="22" spans="1:8" x14ac:dyDescent="0.3">
      <c r="A22" s="352" t="s">
        <v>35</v>
      </c>
      <c r="B22" s="350">
        <f t="shared" ref="B22:G22" si="3">(((((B11)+(B12))+(B18))+(B19))+(B20))+(B21)</f>
        <v>1183684.1100000001</v>
      </c>
      <c r="C22" s="350">
        <f t="shared" si="3"/>
        <v>1328528.58</v>
      </c>
      <c r="D22" s="350">
        <f t="shared" si="3"/>
        <v>1366871.4799999997</v>
      </c>
      <c r="E22" s="350">
        <f t="shared" si="3"/>
        <v>1241629.44</v>
      </c>
      <c r="F22" s="350">
        <f t="shared" si="3"/>
        <v>1224296.1300000001</v>
      </c>
      <c r="G22" s="350">
        <f t="shared" si="3"/>
        <v>1187491.6900000002</v>
      </c>
      <c r="H22" s="350">
        <f t="shared" si="1"/>
        <v>7532501.4299999997</v>
      </c>
    </row>
    <row r="23" spans="1:8" x14ac:dyDescent="0.3">
      <c r="A23" s="352" t="s">
        <v>36</v>
      </c>
      <c r="B23" s="350">
        <f t="shared" ref="B23:G23" si="4">(B9)-(B22)</f>
        <v>1033751.1999999995</v>
      </c>
      <c r="C23" s="350">
        <f t="shared" si="4"/>
        <v>722743.53</v>
      </c>
      <c r="D23" s="350">
        <f t="shared" si="4"/>
        <v>1226136.0000000002</v>
      </c>
      <c r="E23" s="350">
        <f t="shared" si="4"/>
        <v>1390376.2599999998</v>
      </c>
      <c r="F23" s="350">
        <f t="shared" si="4"/>
        <v>1286137.2599999995</v>
      </c>
      <c r="G23" s="350">
        <f t="shared" si="4"/>
        <v>1638283.0599999998</v>
      </c>
      <c r="H23" s="350">
        <f t="shared" si="1"/>
        <v>7297427.3099999987</v>
      </c>
    </row>
    <row r="24" spans="1:8" x14ac:dyDescent="0.3">
      <c r="A24" s="352" t="s">
        <v>37</v>
      </c>
      <c r="B24" s="348"/>
      <c r="C24" s="348"/>
      <c r="D24" s="348"/>
      <c r="E24" s="348"/>
      <c r="F24" s="348"/>
      <c r="G24" s="348"/>
      <c r="H24" s="348"/>
    </row>
    <row r="25" spans="1:8" x14ac:dyDescent="0.3">
      <c r="A25" s="352" t="s">
        <v>38</v>
      </c>
      <c r="B25" s="349">
        <f>199</f>
        <v>199</v>
      </c>
      <c r="C25" s="349">
        <f>314.42</f>
        <v>314.42</v>
      </c>
      <c r="D25" s="349">
        <f>914.06</f>
        <v>914.06</v>
      </c>
      <c r="E25" s="349">
        <f>197.35</f>
        <v>197.35</v>
      </c>
      <c r="F25" s="349">
        <f>410.96</f>
        <v>410.96</v>
      </c>
      <c r="G25" s="349">
        <f>63.81</f>
        <v>63.81</v>
      </c>
      <c r="H25" s="349">
        <f t="shared" ref="H25:H88" si="5">(((((B25)+(C25))+(D25))+(E25))+(F25))+(G25)</f>
        <v>2099.6</v>
      </c>
    </row>
    <row r="26" spans="1:8" x14ac:dyDescent="0.3">
      <c r="A26" s="352" t="s">
        <v>39</v>
      </c>
      <c r="B26" s="348"/>
      <c r="C26" s="348"/>
      <c r="D26" s="348"/>
      <c r="E26" s="348"/>
      <c r="F26" s="348"/>
      <c r="G26" s="348"/>
      <c r="H26" s="349">
        <f t="shared" si="5"/>
        <v>0</v>
      </c>
    </row>
    <row r="27" spans="1:8" x14ac:dyDescent="0.3">
      <c r="A27" s="352" t="s">
        <v>40</v>
      </c>
      <c r="B27" s="349">
        <f>343.04</f>
        <v>343.04</v>
      </c>
      <c r="C27" s="349">
        <f>204.58</f>
        <v>204.58</v>
      </c>
      <c r="D27" s="349">
        <f>1020.23</f>
        <v>1020.23</v>
      </c>
      <c r="E27" s="349">
        <f>809.89</f>
        <v>809.89</v>
      </c>
      <c r="F27" s="349">
        <f>833.2</f>
        <v>833.2</v>
      </c>
      <c r="G27" s="349">
        <f>227.45</f>
        <v>227.45</v>
      </c>
      <c r="H27" s="349">
        <f t="shared" si="5"/>
        <v>3438.3899999999994</v>
      </c>
    </row>
    <row r="28" spans="1:8" x14ac:dyDescent="0.3">
      <c r="A28" s="352" t="s">
        <v>41</v>
      </c>
      <c r="B28" s="349">
        <f>5.64</f>
        <v>5.64</v>
      </c>
      <c r="C28" s="349">
        <f>3.04</f>
        <v>3.04</v>
      </c>
      <c r="D28" s="349">
        <f>5.34</f>
        <v>5.34</v>
      </c>
      <c r="E28" s="349">
        <f>12</f>
        <v>12</v>
      </c>
      <c r="F28" s="349">
        <f>12</f>
        <v>12</v>
      </c>
      <c r="G28" s="348"/>
      <c r="H28" s="349">
        <f t="shared" si="5"/>
        <v>38.019999999999996</v>
      </c>
    </row>
    <row r="29" spans="1:8" x14ac:dyDescent="0.3">
      <c r="A29" s="352" t="s">
        <v>42</v>
      </c>
      <c r="B29" s="350">
        <f t="shared" ref="B29:G29" si="6">(B27)+(B28)</f>
        <v>348.68</v>
      </c>
      <c r="C29" s="350">
        <f t="shared" si="6"/>
        <v>207.62</v>
      </c>
      <c r="D29" s="350">
        <f t="shared" si="6"/>
        <v>1025.57</v>
      </c>
      <c r="E29" s="350">
        <f t="shared" si="6"/>
        <v>821.89</v>
      </c>
      <c r="F29" s="350">
        <f t="shared" si="6"/>
        <v>845.2</v>
      </c>
      <c r="G29" s="350">
        <f t="shared" si="6"/>
        <v>227.45</v>
      </c>
      <c r="H29" s="350">
        <f t="shared" si="5"/>
        <v>3476.41</v>
      </c>
    </row>
    <row r="30" spans="1:8" x14ac:dyDescent="0.3">
      <c r="A30" s="352" t="s">
        <v>130</v>
      </c>
      <c r="B30" s="348"/>
      <c r="C30" s="349">
        <f>103</f>
        <v>103</v>
      </c>
      <c r="D30" s="348"/>
      <c r="E30" s="348"/>
      <c r="F30" s="348"/>
      <c r="G30" s="348"/>
      <c r="H30" s="349">
        <f t="shared" si="5"/>
        <v>103</v>
      </c>
    </row>
    <row r="31" spans="1:8" x14ac:dyDescent="0.3">
      <c r="A31" s="352" t="s">
        <v>43</v>
      </c>
      <c r="B31" s="349">
        <f>1585.26</f>
        <v>1585.26</v>
      </c>
      <c r="C31" s="349">
        <f>1105.17</f>
        <v>1105.17</v>
      </c>
      <c r="D31" s="349">
        <f>4026.43</f>
        <v>4026.43</v>
      </c>
      <c r="E31" s="349">
        <f>399.45</f>
        <v>399.45</v>
      </c>
      <c r="F31" s="349">
        <f>573.6</f>
        <v>573.6</v>
      </c>
      <c r="G31" s="349">
        <f>974.24</f>
        <v>974.24</v>
      </c>
      <c r="H31" s="349">
        <f t="shared" si="5"/>
        <v>8664.1500000000015</v>
      </c>
    </row>
    <row r="32" spans="1:8" x14ac:dyDescent="0.3">
      <c r="A32" s="352" t="s">
        <v>46</v>
      </c>
      <c r="B32" s="348"/>
      <c r="C32" s="348"/>
      <c r="D32" s="348"/>
      <c r="E32" s="348"/>
      <c r="F32" s="348"/>
      <c r="G32" s="348"/>
      <c r="H32" s="349">
        <f t="shared" si="5"/>
        <v>0</v>
      </c>
    </row>
    <row r="33" spans="1:8" x14ac:dyDescent="0.3">
      <c r="A33" s="352" t="s">
        <v>47</v>
      </c>
      <c r="B33" s="349">
        <f>469.98</f>
        <v>469.98</v>
      </c>
      <c r="C33" s="349">
        <f>442.2</f>
        <v>442.2</v>
      </c>
      <c r="D33" s="349">
        <f>343.3</f>
        <v>343.3</v>
      </c>
      <c r="E33" s="349">
        <f>213.29</f>
        <v>213.29</v>
      </c>
      <c r="F33" s="349">
        <f>351.68</f>
        <v>351.68</v>
      </c>
      <c r="G33" s="349">
        <f>458.11</f>
        <v>458.11</v>
      </c>
      <c r="H33" s="349">
        <f t="shared" si="5"/>
        <v>2278.56</v>
      </c>
    </row>
    <row r="34" spans="1:8" x14ac:dyDescent="0.3">
      <c r="A34" s="352" t="s">
        <v>48</v>
      </c>
      <c r="B34" s="349">
        <f>348.08</f>
        <v>348.08</v>
      </c>
      <c r="C34" s="349">
        <f>541.81</f>
        <v>541.80999999999995</v>
      </c>
      <c r="D34" s="349">
        <f>99.74</f>
        <v>99.74</v>
      </c>
      <c r="E34" s="349">
        <f>223.98</f>
        <v>223.98</v>
      </c>
      <c r="F34" s="349">
        <f>501.2</f>
        <v>501.2</v>
      </c>
      <c r="G34" s="349">
        <f>331.26</f>
        <v>331.26</v>
      </c>
      <c r="H34" s="349">
        <f t="shared" si="5"/>
        <v>2046.07</v>
      </c>
    </row>
    <row r="35" spans="1:8" x14ac:dyDescent="0.3">
      <c r="A35" s="352" t="s">
        <v>49</v>
      </c>
      <c r="B35" s="350">
        <f t="shared" ref="B35:G35" si="7">((B32)+(B33))+(B34)</f>
        <v>818.06</v>
      </c>
      <c r="C35" s="350">
        <f t="shared" si="7"/>
        <v>984.01</v>
      </c>
      <c r="D35" s="350">
        <f t="shared" si="7"/>
        <v>443.04</v>
      </c>
      <c r="E35" s="350">
        <f t="shared" si="7"/>
        <v>437.27</v>
      </c>
      <c r="F35" s="350">
        <f t="shared" si="7"/>
        <v>852.88</v>
      </c>
      <c r="G35" s="350">
        <f t="shared" si="7"/>
        <v>789.37</v>
      </c>
      <c r="H35" s="350">
        <f t="shared" si="5"/>
        <v>4324.63</v>
      </c>
    </row>
    <row r="36" spans="1:8" x14ac:dyDescent="0.3">
      <c r="A36" s="352" t="s">
        <v>512</v>
      </c>
      <c r="B36" s="348"/>
      <c r="C36" s="348"/>
      <c r="D36" s="348"/>
      <c r="E36" s="348"/>
      <c r="F36" s="348"/>
      <c r="G36" s="349">
        <f>2291.59</f>
        <v>2291.59</v>
      </c>
      <c r="H36" s="349">
        <f t="shared" si="5"/>
        <v>2291.59</v>
      </c>
    </row>
    <row r="37" spans="1:8" x14ac:dyDescent="0.3">
      <c r="A37" s="352" t="s">
        <v>50</v>
      </c>
      <c r="B37" s="348"/>
      <c r="C37" s="348"/>
      <c r="D37" s="348"/>
      <c r="E37" s="348"/>
      <c r="F37" s="348"/>
      <c r="G37" s="349">
        <f>254.15</f>
        <v>254.15</v>
      </c>
      <c r="H37" s="349">
        <f t="shared" si="5"/>
        <v>254.15</v>
      </c>
    </row>
    <row r="38" spans="1:8" x14ac:dyDescent="0.3">
      <c r="A38" s="352" t="s">
        <v>51</v>
      </c>
      <c r="B38" s="349">
        <f>237.87</f>
        <v>237.87</v>
      </c>
      <c r="C38" s="349">
        <f>317.3</f>
        <v>317.3</v>
      </c>
      <c r="D38" s="349">
        <f>363.57</f>
        <v>363.57</v>
      </c>
      <c r="E38" s="349">
        <f>196.55</f>
        <v>196.55</v>
      </c>
      <c r="F38" s="349">
        <f>41.62</f>
        <v>41.62</v>
      </c>
      <c r="G38" s="349">
        <f>1199.84</f>
        <v>1199.8399999999999</v>
      </c>
      <c r="H38" s="349">
        <f t="shared" si="5"/>
        <v>2356.75</v>
      </c>
    </row>
    <row r="39" spans="1:8" x14ac:dyDescent="0.3">
      <c r="A39" s="352" t="s">
        <v>53</v>
      </c>
      <c r="B39" s="350">
        <f t="shared" ref="B39:G39" si="8">(B37)+(B38)</f>
        <v>237.87</v>
      </c>
      <c r="C39" s="350">
        <f t="shared" si="8"/>
        <v>317.3</v>
      </c>
      <c r="D39" s="350">
        <f t="shared" si="8"/>
        <v>363.57</v>
      </c>
      <c r="E39" s="350">
        <f t="shared" si="8"/>
        <v>196.55</v>
      </c>
      <c r="F39" s="350">
        <f t="shared" si="8"/>
        <v>41.62</v>
      </c>
      <c r="G39" s="350">
        <f t="shared" si="8"/>
        <v>1453.99</v>
      </c>
      <c r="H39" s="350">
        <f t="shared" si="5"/>
        <v>2610.8999999999996</v>
      </c>
    </row>
    <row r="40" spans="1:8" x14ac:dyDescent="0.3">
      <c r="A40" s="352" t="s">
        <v>54</v>
      </c>
      <c r="B40" s="348"/>
      <c r="C40" s="348"/>
      <c r="D40" s="348"/>
      <c r="E40" s="348"/>
      <c r="F40" s="348"/>
      <c r="G40" s="348"/>
      <c r="H40" s="349">
        <f t="shared" si="5"/>
        <v>0</v>
      </c>
    </row>
    <row r="41" spans="1:8" x14ac:dyDescent="0.3">
      <c r="A41" s="352" t="s">
        <v>55</v>
      </c>
      <c r="B41" s="349">
        <f>4748.3</f>
        <v>4748.3</v>
      </c>
      <c r="C41" s="349">
        <f>10215</f>
        <v>10215</v>
      </c>
      <c r="D41" s="349">
        <f>4836.3</f>
        <v>4836.3</v>
      </c>
      <c r="E41" s="349">
        <f>8032.8</f>
        <v>8032.8</v>
      </c>
      <c r="F41" s="349">
        <f>5721.47</f>
        <v>5721.47</v>
      </c>
      <c r="G41" s="349">
        <f>5548</f>
        <v>5548</v>
      </c>
      <c r="H41" s="349">
        <f t="shared" si="5"/>
        <v>39101.869999999995</v>
      </c>
    </row>
    <row r="42" spans="1:8" x14ac:dyDescent="0.3">
      <c r="A42" s="352" t="s">
        <v>474</v>
      </c>
      <c r="B42" s="348"/>
      <c r="C42" s="348"/>
      <c r="D42" s="349">
        <f>9057</f>
        <v>9057</v>
      </c>
      <c r="E42" s="349">
        <f>1694</f>
        <v>1694</v>
      </c>
      <c r="F42" s="349">
        <f>538</f>
        <v>538</v>
      </c>
      <c r="G42" s="349">
        <f>6106</f>
        <v>6106</v>
      </c>
      <c r="H42" s="349">
        <f t="shared" si="5"/>
        <v>17395</v>
      </c>
    </row>
    <row r="43" spans="1:8" x14ac:dyDescent="0.3">
      <c r="A43" s="352" t="s">
        <v>56</v>
      </c>
      <c r="B43" s="348"/>
      <c r="C43" s="348"/>
      <c r="D43" s="349">
        <f>6190</f>
        <v>6190</v>
      </c>
      <c r="E43" s="349">
        <f>6511</f>
        <v>6511</v>
      </c>
      <c r="F43" s="349">
        <f>3353.52</f>
        <v>3353.52</v>
      </c>
      <c r="G43" s="349">
        <f>6516.21</f>
        <v>6516.21</v>
      </c>
      <c r="H43" s="349">
        <f t="shared" si="5"/>
        <v>22570.73</v>
      </c>
    </row>
    <row r="44" spans="1:8" x14ac:dyDescent="0.3">
      <c r="A44" s="352" t="s">
        <v>206</v>
      </c>
      <c r="B44" s="348"/>
      <c r="C44" s="349">
        <f>370</f>
        <v>370</v>
      </c>
      <c r="D44" s="348"/>
      <c r="E44" s="348"/>
      <c r="F44" s="348"/>
      <c r="G44" s="348"/>
      <c r="H44" s="349">
        <f t="shared" si="5"/>
        <v>370</v>
      </c>
    </row>
    <row r="45" spans="1:8" x14ac:dyDescent="0.3">
      <c r="A45" s="352" t="s">
        <v>57</v>
      </c>
      <c r="B45" s="349">
        <f>2858</f>
        <v>2858</v>
      </c>
      <c r="C45" s="349">
        <f>3506.5</f>
        <v>3506.5</v>
      </c>
      <c r="D45" s="349">
        <f>4065</f>
        <v>4065</v>
      </c>
      <c r="E45" s="349">
        <f>6860</f>
        <v>6860</v>
      </c>
      <c r="F45" s="349">
        <f>3121.5</f>
        <v>3121.5</v>
      </c>
      <c r="G45" s="349">
        <f>8348.5</f>
        <v>8348.5</v>
      </c>
      <c r="H45" s="349">
        <f t="shared" si="5"/>
        <v>28759.5</v>
      </c>
    </row>
    <row r="46" spans="1:8" x14ac:dyDescent="0.3">
      <c r="A46" s="352" t="s">
        <v>131</v>
      </c>
      <c r="B46" s="349">
        <f>343</f>
        <v>343</v>
      </c>
      <c r="C46" s="349">
        <f>343</f>
        <v>343</v>
      </c>
      <c r="D46" s="349">
        <f>343</f>
        <v>343</v>
      </c>
      <c r="E46" s="348"/>
      <c r="F46" s="348"/>
      <c r="G46" s="348"/>
      <c r="H46" s="349">
        <f t="shared" si="5"/>
        <v>1029</v>
      </c>
    </row>
    <row r="47" spans="1:8" x14ac:dyDescent="0.3">
      <c r="A47" s="352" t="s">
        <v>97</v>
      </c>
      <c r="B47" s="349">
        <f>8560.42</f>
        <v>8560.42</v>
      </c>
      <c r="C47" s="349">
        <f>21551.25</f>
        <v>21551.25</v>
      </c>
      <c r="D47" s="349">
        <f>18015.58</f>
        <v>18015.580000000002</v>
      </c>
      <c r="E47" s="349">
        <f>33997.5</f>
        <v>33997.5</v>
      </c>
      <c r="F47" s="349">
        <f>12934.17</f>
        <v>12934.17</v>
      </c>
      <c r="G47" s="348"/>
      <c r="H47" s="349">
        <f t="shared" si="5"/>
        <v>95058.92</v>
      </c>
    </row>
    <row r="48" spans="1:8" x14ac:dyDescent="0.3">
      <c r="A48" s="352" t="s">
        <v>58</v>
      </c>
      <c r="B48" s="350">
        <f t="shared" ref="B48:G48" si="9">(((((((B40)+(B41))+(B42))+(B43))+(B44))+(B45))+(B46))+(B47)</f>
        <v>16509.72</v>
      </c>
      <c r="C48" s="350">
        <f t="shared" si="9"/>
        <v>35985.75</v>
      </c>
      <c r="D48" s="350">
        <f t="shared" si="9"/>
        <v>42506.880000000005</v>
      </c>
      <c r="E48" s="350">
        <f t="shared" si="9"/>
        <v>57095.3</v>
      </c>
      <c r="F48" s="350">
        <f t="shared" si="9"/>
        <v>25668.66</v>
      </c>
      <c r="G48" s="350">
        <f t="shared" si="9"/>
        <v>26518.71</v>
      </c>
      <c r="H48" s="350">
        <f t="shared" si="5"/>
        <v>204285.02000000002</v>
      </c>
    </row>
    <row r="49" spans="1:8" x14ac:dyDescent="0.3">
      <c r="A49" s="352" t="s">
        <v>59</v>
      </c>
      <c r="B49" s="349">
        <f>6792.86</f>
        <v>6792.86</v>
      </c>
      <c r="C49" s="349">
        <f>2777.31</f>
        <v>2777.31</v>
      </c>
      <c r="D49" s="349">
        <f>1791.26</f>
        <v>1791.26</v>
      </c>
      <c r="E49" s="349">
        <f>170.54</f>
        <v>170.54</v>
      </c>
      <c r="F49" s="349">
        <f>1166.3</f>
        <v>1166.3</v>
      </c>
      <c r="G49" s="349">
        <f>882.84</f>
        <v>882.84</v>
      </c>
      <c r="H49" s="349">
        <f t="shared" si="5"/>
        <v>13581.11</v>
      </c>
    </row>
    <row r="50" spans="1:8" x14ac:dyDescent="0.3">
      <c r="A50" s="352" t="s">
        <v>60</v>
      </c>
      <c r="B50" s="349">
        <f>17353.49</f>
        <v>17353.490000000002</v>
      </c>
      <c r="C50" s="349">
        <f>16618</f>
        <v>16618</v>
      </c>
      <c r="D50" s="349">
        <f>16618</f>
        <v>16618</v>
      </c>
      <c r="E50" s="349">
        <f>24445.27</f>
        <v>24445.27</v>
      </c>
      <c r="F50" s="349">
        <f>16417.51</f>
        <v>16417.509999999998</v>
      </c>
      <c r="G50" s="349">
        <f>17128</f>
        <v>17128</v>
      </c>
      <c r="H50" s="349">
        <f t="shared" si="5"/>
        <v>108580.27</v>
      </c>
    </row>
    <row r="51" spans="1:8" x14ac:dyDescent="0.3">
      <c r="A51" s="352" t="s">
        <v>61</v>
      </c>
      <c r="B51" s="349">
        <f>10831.3</f>
        <v>10831.3</v>
      </c>
      <c r="C51" s="349">
        <f>10119.38</f>
        <v>10119.379999999999</v>
      </c>
      <c r="D51" s="349">
        <f>13112.91</f>
        <v>13112.91</v>
      </c>
      <c r="E51" s="349">
        <f>10851.25</f>
        <v>10851.25</v>
      </c>
      <c r="F51" s="349">
        <f>23863.99</f>
        <v>23863.99</v>
      </c>
      <c r="G51" s="349">
        <f>14893.59</f>
        <v>14893.59</v>
      </c>
      <c r="H51" s="349">
        <f t="shared" si="5"/>
        <v>83672.42</v>
      </c>
    </row>
    <row r="52" spans="1:8" x14ac:dyDescent="0.3">
      <c r="A52" s="352" t="s">
        <v>62</v>
      </c>
      <c r="B52" s="348"/>
      <c r="C52" s="349">
        <f>1229.24</f>
        <v>1229.24</v>
      </c>
      <c r="D52" s="349">
        <f>10534.81</f>
        <v>10534.81</v>
      </c>
      <c r="E52" s="349">
        <f>5087.79</f>
        <v>5087.79</v>
      </c>
      <c r="F52" s="349">
        <f>5298.43</f>
        <v>5298.43</v>
      </c>
      <c r="G52" s="349">
        <f>6557.69</f>
        <v>6557.69</v>
      </c>
      <c r="H52" s="349">
        <f t="shared" si="5"/>
        <v>28707.96</v>
      </c>
    </row>
    <row r="53" spans="1:8" x14ac:dyDescent="0.3">
      <c r="A53" s="352" t="s">
        <v>63</v>
      </c>
      <c r="B53" s="348"/>
      <c r="C53" s="349">
        <f>1</f>
        <v>1</v>
      </c>
      <c r="D53" s="349">
        <f>21705.51</f>
        <v>21705.51</v>
      </c>
      <c r="E53" s="348"/>
      <c r="F53" s="349">
        <f>410.98</f>
        <v>410.98</v>
      </c>
      <c r="G53" s="349">
        <f>7.41</f>
        <v>7.41</v>
      </c>
      <c r="H53" s="349">
        <f t="shared" si="5"/>
        <v>22124.899999999998</v>
      </c>
    </row>
    <row r="54" spans="1:8" x14ac:dyDescent="0.3">
      <c r="A54" s="352" t="s">
        <v>64</v>
      </c>
      <c r="B54" s="349">
        <f>2785.19</f>
        <v>2785.19</v>
      </c>
      <c r="C54" s="349">
        <f>3105.1</f>
        <v>3105.1</v>
      </c>
      <c r="D54" s="349">
        <f>290.78</f>
        <v>290.77999999999997</v>
      </c>
      <c r="E54" s="349">
        <f>-35.97</f>
        <v>-35.97</v>
      </c>
      <c r="F54" s="349">
        <f>24.24</f>
        <v>24.24</v>
      </c>
      <c r="G54" s="349">
        <f>120</f>
        <v>120</v>
      </c>
      <c r="H54" s="349">
        <f t="shared" si="5"/>
        <v>6289.3399999999992</v>
      </c>
    </row>
    <row r="55" spans="1:8" x14ac:dyDescent="0.3">
      <c r="A55" s="352" t="s">
        <v>65</v>
      </c>
      <c r="B55" s="349">
        <f>296.05</f>
        <v>296.05</v>
      </c>
      <c r="C55" s="349">
        <f>173.64</f>
        <v>173.64</v>
      </c>
      <c r="D55" s="349">
        <f>858.9</f>
        <v>858.9</v>
      </c>
      <c r="E55" s="349">
        <f>2064.17</f>
        <v>2064.17</v>
      </c>
      <c r="F55" s="349">
        <f>635</f>
        <v>635</v>
      </c>
      <c r="G55" s="348"/>
      <c r="H55" s="349">
        <f t="shared" si="5"/>
        <v>4027.76</v>
      </c>
    </row>
    <row r="56" spans="1:8" x14ac:dyDescent="0.3">
      <c r="A56" s="352" t="s">
        <v>66</v>
      </c>
      <c r="B56" s="350">
        <f t="shared" ref="B56:G56" si="10">(B54)+(B55)</f>
        <v>3081.2400000000002</v>
      </c>
      <c r="C56" s="350">
        <f t="shared" si="10"/>
        <v>3278.74</v>
      </c>
      <c r="D56" s="350">
        <f t="shared" si="10"/>
        <v>1149.6799999999998</v>
      </c>
      <c r="E56" s="350">
        <f t="shared" si="10"/>
        <v>2028.2</v>
      </c>
      <c r="F56" s="350">
        <f t="shared" si="10"/>
        <v>659.24</v>
      </c>
      <c r="G56" s="350">
        <f t="shared" si="10"/>
        <v>120</v>
      </c>
      <c r="H56" s="350">
        <f t="shared" si="5"/>
        <v>10317.1</v>
      </c>
    </row>
    <row r="57" spans="1:8" x14ac:dyDescent="0.3">
      <c r="A57" s="352" t="s">
        <v>67</v>
      </c>
      <c r="B57" s="349">
        <f>4978.68</f>
        <v>4978.68</v>
      </c>
      <c r="C57" s="349">
        <f>4022.85</f>
        <v>4022.85</v>
      </c>
      <c r="D57" s="349">
        <f>4209.66</f>
        <v>4209.66</v>
      </c>
      <c r="E57" s="349">
        <f>3198.98</f>
        <v>3198.98</v>
      </c>
      <c r="F57" s="349">
        <f>6171.45</f>
        <v>6171.45</v>
      </c>
      <c r="G57" s="349">
        <f>7543.61</f>
        <v>7543.61</v>
      </c>
      <c r="H57" s="349">
        <f t="shared" si="5"/>
        <v>30125.230000000003</v>
      </c>
    </row>
    <row r="58" spans="1:8" x14ac:dyDescent="0.3">
      <c r="A58" s="352" t="s">
        <v>68</v>
      </c>
      <c r="B58" s="349">
        <f>3569.45</f>
        <v>3569.45</v>
      </c>
      <c r="C58" s="349">
        <f>5721</f>
        <v>5721</v>
      </c>
      <c r="D58" s="349">
        <f>10118.08</f>
        <v>10118.08</v>
      </c>
      <c r="E58" s="349">
        <f>6434.29</f>
        <v>6434.29</v>
      </c>
      <c r="F58" s="349">
        <f>5753.44</f>
        <v>5753.44</v>
      </c>
      <c r="G58" s="349">
        <f>58326.1</f>
        <v>58326.1</v>
      </c>
      <c r="H58" s="349">
        <f t="shared" si="5"/>
        <v>89922.36</v>
      </c>
    </row>
    <row r="59" spans="1:8" x14ac:dyDescent="0.3">
      <c r="A59" s="352" t="s">
        <v>69</v>
      </c>
      <c r="B59" s="350">
        <f t="shared" ref="B59:G59" si="11">(((((((((((((((B26)+(B29))+(B30))+(B31))+(B35))+(B36))+(B39))+(B48))+(B49))+(B50))+(B51))+(B52))+(B53))+(B56))+(B57))+(B58)</f>
        <v>66106.61</v>
      </c>
      <c r="C59" s="350">
        <f t="shared" si="11"/>
        <v>82470.37000000001</v>
      </c>
      <c r="D59" s="350">
        <f t="shared" si="11"/>
        <v>127605.4</v>
      </c>
      <c r="E59" s="350">
        <f t="shared" si="11"/>
        <v>111166.77999999998</v>
      </c>
      <c r="F59" s="350">
        <f t="shared" si="11"/>
        <v>87723.3</v>
      </c>
      <c r="G59" s="350">
        <f t="shared" si="11"/>
        <v>137714.59</v>
      </c>
      <c r="H59" s="350">
        <f t="shared" si="5"/>
        <v>612787.04999999993</v>
      </c>
    </row>
    <row r="60" spans="1:8" x14ac:dyDescent="0.3">
      <c r="A60" s="352" t="s">
        <v>475</v>
      </c>
      <c r="B60" s="348"/>
      <c r="C60" s="348"/>
      <c r="D60" s="348"/>
      <c r="E60" s="348"/>
      <c r="F60" s="348"/>
      <c r="G60" s="348"/>
      <c r="H60" s="349">
        <f t="shared" si="5"/>
        <v>0</v>
      </c>
    </row>
    <row r="61" spans="1:8" x14ac:dyDescent="0.3">
      <c r="A61" s="352" t="s">
        <v>476</v>
      </c>
      <c r="B61" s="349">
        <f>1226.24</f>
        <v>1226.24</v>
      </c>
      <c r="C61" s="348"/>
      <c r="D61" s="348"/>
      <c r="E61" s="349">
        <f>17092.55</f>
        <v>17092.55</v>
      </c>
      <c r="F61" s="349">
        <f>8242.38</f>
        <v>8242.3799999999992</v>
      </c>
      <c r="G61" s="349">
        <f>345.45</f>
        <v>345.45</v>
      </c>
      <c r="H61" s="349">
        <f t="shared" si="5"/>
        <v>26906.62</v>
      </c>
    </row>
    <row r="62" spans="1:8" x14ac:dyDescent="0.3">
      <c r="A62" s="352" t="s">
        <v>477</v>
      </c>
      <c r="B62" s="348"/>
      <c r="C62" s="348"/>
      <c r="D62" s="349">
        <f>950.18</f>
        <v>950.18</v>
      </c>
      <c r="E62" s="349">
        <f>1178.38</f>
        <v>1178.3800000000001</v>
      </c>
      <c r="F62" s="348"/>
      <c r="G62" s="349">
        <f>3352.51</f>
        <v>3352.51</v>
      </c>
      <c r="H62" s="349">
        <f t="shared" si="5"/>
        <v>5481.07</v>
      </c>
    </row>
    <row r="63" spans="1:8" x14ac:dyDescent="0.3">
      <c r="A63" s="352" t="s">
        <v>478</v>
      </c>
      <c r="B63" s="350">
        <f t="shared" ref="B63:G63" si="12">((B60)+(B61))+(B62)</f>
        <v>1226.24</v>
      </c>
      <c r="C63" s="350">
        <f t="shared" si="12"/>
        <v>0</v>
      </c>
      <c r="D63" s="350">
        <f t="shared" si="12"/>
        <v>950.18</v>
      </c>
      <c r="E63" s="350">
        <f t="shared" si="12"/>
        <v>18270.93</v>
      </c>
      <c r="F63" s="350">
        <f t="shared" si="12"/>
        <v>8242.3799999999992</v>
      </c>
      <c r="G63" s="350">
        <f t="shared" si="12"/>
        <v>3697.96</v>
      </c>
      <c r="H63" s="350">
        <f t="shared" si="5"/>
        <v>32387.689999999995</v>
      </c>
    </row>
    <row r="64" spans="1:8" x14ac:dyDescent="0.3">
      <c r="A64" s="352" t="s">
        <v>71</v>
      </c>
      <c r="B64" s="348"/>
      <c r="C64" s="348"/>
      <c r="D64" s="348"/>
      <c r="E64" s="348"/>
      <c r="F64" s="349">
        <f>2800</f>
        <v>2800</v>
      </c>
      <c r="G64" s="349">
        <f>2800</f>
        <v>2800</v>
      </c>
      <c r="H64" s="349">
        <f t="shared" si="5"/>
        <v>5600</v>
      </c>
    </row>
    <row r="65" spans="1:8" x14ac:dyDescent="0.3">
      <c r="A65" s="352" t="s">
        <v>72</v>
      </c>
      <c r="B65" s="348"/>
      <c r="C65" s="348"/>
      <c r="D65" s="348"/>
      <c r="E65" s="348"/>
      <c r="F65" s="349">
        <f>1526.54</f>
        <v>1526.54</v>
      </c>
      <c r="G65" s="349">
        <f>2527.08</f>
        <v>2527.08</v>
      </c>
      <c r="H65" s="349">
        <f t="shared" si="5"/>
        <v>4053.62</v>
      </c>
    </row>
    <row r="66" spans="1:8" x14ac:dyDescent="0.3">
      <c r="A66" s="352" t="s">
        <v>73</v>
      </c>
      <c r="B66" s="349">
        <f>17068.12</f>
        <v>17068.12</v>
      </c>
      <c r="C66" s="349">
        <f>2502.12</f>
        <v>2502.12</v>
      </c>
      <c r="D66" s="349">
        <f>10500</f>
        <v>10500</v>
      </c>
      <c r="E66" s="349">
        <f>5500</f>
        <v>5500</v>
      </c>
      <c r="F66" s="349">
        <f>12500</f>
        <v>12500</v>
      </c>
      <c r="G66" s="349">
        <f>6502.12</f>
        <v>6502.12</v>
      </c>
      <c r="H66" s="349">
        <f t="shared" si="5"/>
        <v>54572.36</v>
      </c>
    </row>
    <row r="67" spans="1:8" x14ac:dyDescent="0.3">
      <c r="A67" s="352" t="s">
        <v>207</v>
      </c>
      <c r="B67" s="349">
        <f>2505</f>
        <v>2505</v>
      </c>
      <c r="C67" s="349">
        <f>3500</f>
        <v>3500</v>
      </c>
      <c r="D67" s="348"/>
      <c r="E67" s="348"/>
      <c r="F67" s="349">
        <f>3500</f>
        <v>3500</v>
      </c>
      <c r="G67" s="348"/>
      <c r="H67" s="349">
        <f t="shared" si="5"/>
        <v>9505</v>
      </c>
    </row>
    <row r="68" spans="1:8" x14ac:dyDescent="0.3">
      <c r="A68" s="352" t="s">
        <v>513</v>
      </c>
      <c r="B68" s="348"/>
      <c r="C68" s="348"/>
      <c r="D68" s="348"/>
      <c r="E68" s="348"/>
      <c r="F68" s="349">
        <f>70</f>
        <v>70</v>
      </c>
      <c r="G68" s="348"/>
      <c r="H68" s="349">
        <f t="shared" si="5"/>
        <v>70</v>
      </c>
    </row>
    <row r="69" spans="1:8" x14ac:dyDescent="0.3">
      <c r="A69" s="352" t="s">
        <v>75</v>
      </c>
      <c r="B69" s="349">
        <f>330516.24</f>
        <v>330516.24</v>
      </c>
      <c r="C69" s="349">
        <f>320494.8</f>
        <v>320494.8</v>
      </c>
      <c r="D69" s="349">
        <f>239955.19</f>
        <v>239955.19</v>
      </c>
      <c r="E69" s="349">
        <f>125762.99</f>
        <v>125762.99</v>
      </c>
      <c r="F69" s="349">
        <f>329703.55</f>
        <v>329703.55</v>
      </c>
      <c r="G69" s="349">
        <f>337161.14</f>
        <v>337161.14</v>
      </c>
      <c r="H69" s="349">
        <f t="shared" si="5"/>
        <v>1683593.9100000001</v>
      </c>
    </row>
    <row r="70" spans="1:8" x14ac:dyDescent="0.3">
      <c r="A70" s="352" t="s">
        <v>76</v>
      </c>
      <c r="B70" s="349">
        <f>7614.66</f>
        <v>7614.66</v>
      </c>
      <c r="C70" s="349">
        <f>5205.66</f>
        <v>5205.66</v>
      </c>
      <c r="D70" s="349">
        <f>5983.66</f>
        <v>5983.66</v>
      </c>
      <c r="E70" s="349">
        <f>5462.14</f>
        <v>5462.14</v>
      </c>
      <c r="F70" s="349">
        <f>6420.14</f>
        <v>6420.14</v>
      </c>
      <c r="G70" s="349">
        <f>5187.14</f>
        <v>5187.1400000000003</v>
      </c>
      <c r="H70" s="349">
        <f t="shared" si="5"/>
        <v>35873.4</v>
      </c>
    </row>
    <row r="71" spans="1:8" x14ac:dyDescent="0.3">
      <c r="A71" s="352" t="s">
        <v>77</v>
      </c>
      <c r="B71" s="348"/>
      <c r="C71" s="348"/>
      <c r="D71" s="348"/>
      <c r="E71" s="348"/>
      <c r="F71" s="349">
        <f>45</f>
        <v>45</v>
      </c>
      <c r="G71" s="348"/>
      <c r="H71" s="349">
        <f t="shared" si="5"/>
        <v>45</v>
      </c>
    </row>
    <row r="72" spans="1:8" x14ac:dyDescent="0.3">
      <c r="A72" s="352" t="s">
        <v>81</v>
      </c>
      <c r="B72" s="349">
        <f>1165.05</f>
        <v>1165.05</v>
      </c>
      <c r="C72" s="349">
        <f>1209.23</f>
        <v>1209.23</v>
      </c>
      <c r="D72" s="349">
        <f>1214.68</f>
        <v>1214.68</v>
      </c>
      <c r="E72" s="349">
        <f>764.48</f>
        <v>764.48</v>
      </c>
      <c r="F72" s="349">
        <f>1337.9</f>
        <v>1337.9</v>
      </c>
      <c r="G72" s="349">
        <f>1565.04</f>
        <v>1565.04</v>
      </c>
      <c r="H72" s="349">
        <f t="shared" si="5"/>
        <v>7256.38</v>
      </c>
    </row>
    <row r="73" spans="1:8" x14ac:dyDescent="0.3">
      <c r="A73" s="352" t="s">
        <v>82</v>
      </c>
      <c r="B73" s="350">
        <f t="shared" ref="B73:G73" si="13">((((((((B64)+(B65))+(B66))+(B67))+(B68))+(B69))+(B70))+(B71))+(B72)</f>
        <v>358869.06999999995</v>
      </c>
      <c r="C73" s="350">
        <f t="shared" si="13"/>
        <v>332911.80999999994</v>
      </c>
      <c r="D73" s="350">
        <f t="shared" si="13"/>
        <v>257653.53</v>
      </c>
      <c r="E73" s="350">
        <f t="shared" si="13"/>
        <v>137489.61000000002</v>
      </c>
      <c r="F73" s="350">
        <f t="shared" si="13"/>
        <v>357903.13</v>
      </c>
      <c r="G73" s="350">
        <f t="shared" si="13"/>
        <v>355742.52</v>
      </c>
      <c r="H73" s="350">
        <f t="shared" si="5"/>
        <v>1800569.67</v>
      </c>
    </row>
    <row r="74" spans="1:8" x14ac:dyDescent="0.3">
      <c r="A74" s="352" t="s">
        <v>186</v>
      </c>
      <c r="B74" s="349">
        <f>9</f>
        <v>9</v>
      </c>
      <c r="C74" s="349">
        <f>9</f>
        <v>9</v>
      </c>
      <c r="D74" s="349">
        <f>9</f>
        <v>9</v>
      </c>
      <c r="E74" s="348"/>
      <c r="F74" s="348"/>
      <c r="G74" s="348"/>
      <c r="H74" s="349">
        <f t="shared" si="5"/>
        <v>27</v>
      </c>
    </row>
    <row r="75" spans="1:8" x14ac:dyDescent="0.3">
      <c r="A75" s="352" t="s">
        <v>83</v>
      </c>
      <c r="B75" s="348"/>
      <c r="C75" s="348"/>
      <c r="D75" s="348"/>
      <c r="E75" s="348"/>
      <c r="F75" s="348"/>
      <c r="G75" s="348"/>
      <c r="H75" s="349">
        <f t="shared" si="5"/>
        <v>0</v>
      </c>
    </row>
    <row r="76" spans="1:8" x14ac:dyDescent="0.3">
      <c r="A76" s="352" t="s">
        <v>84</v>
      </c>
      <c r="B76" s="349">
        <f>11412.97</f>
        <v>11412.97</v>
      </c>
      <c r="C76" s="349">
        <f>7427.88</f>
        <v>7427.88</v>
      </c>
      <c r="D76" s="349">
        <f>6732</f>
        <v>6732</v>
      </c>
      <c r="E76" s="349">
        <f>4995.05</f>
        <v>4995.05</v>
      </c>
      <c r="F76" s="348"/>
      <c r="G76" s="349">
        <f>7185.8</f>
        <v>7185.8</v>
      </c>
      <c r="H76" s="349">
        <f t="shared" si="5"/>
        <v>37753.699999999997</v>
      </c>
    </row>
    <row r="77" spans="1:8" x14ac:dyDescent="0.3">
      <c r="A77" s="352" t="s">
        <v>85</v>
      </c>
      <c r="B77" s="349">
        <f>1705.34</f>
        <v>1705.34</v>
      </c>
      <c r="C77" s="349">
        <f>1761.97</f>
        <v>1761.97</v>
      </c>
      <c r="D77" s="349">
        <f>2172.16</f>
        <v>2172.16</v>
      </c>
      <c r="E77" s="349">
        <f>1430.25</f>
        <v>1430.25</v>
      </c>
      <c r="F77" s="349">
        <f>1536.09</f>
        <v>1536.09</v>
      </c>
      <c r="G77" s="349">
        <f>2357.03</f>
        <v>2357.0300000000002</v>
      </c>
      <c r="H77" s="349">
        <f t="shared" si="5"/>
        <v>10962.84</v>
      </c>
    </row>
    <row r="78" spans="1:8" x14ac:dyDescent="0.3">
      <c r="A78" s="352" t="s">
        <v>86</v>
      </c>
      <c r="B78" s="349">
        <f>18156.24</f>
        <v>18156.240000000002</v>
      </c>
      <c r="C78" s="349">
        <f>19526.61</f>
        <v>19526.61</v>
      </c>
      <c r="D78" s="349">
        <f>19306.69</f>
        <v>19306.689999999999</v>
      </c>
      <c r="E78" s="349">
        <f>16965.66</f>
        <v>16965.66</v>
      </c>
      <c r="F78" s="349">
        <f>27388.26</f>
        <v>27388.26</v>
      </c>
      <c r="G78" s="349">
        <f>21209.21</f>
        <v>21209.21</v>
      </c>
      <c r="H78" s="349">
        <f t="shared" si="5"/>
        <v>122552.67000000001</v>
      </c>
    </row>
    <row r="79" spans="1:8" x14ac:dyDescent="0.3">
      <c r="A79" s="352" t="s">
        <v>87</v>
      </c>
      <c r="B79" s="349">
        <f>0</f>
        <v>0</v>
      </c>
      <c r="C79" s="349">
        <f>0</f>
        <v>0</v>
      </c>
      <c r="D79" s="349">
        <f>0</f>
        <v>0</v>
      </c>
      <c r="E79" s="349">
        <f>115840.12</f>
        <v>115840.12</v>
      </c>
      <c r="F79" s="349">
        <f>0</f>
        <v>0</v>
      </c>
      <c r="G79" s="349">
        <f>0</f>
        <v>0</v>
      </c>
      <c r="H79" s="349">
        <f t="shared" si="5"/>
        <v>115840.12</v>
      </c>
    </row>
    <row r="80" spans="1:8" x14ac:dyDescent="0.3">
      <c r="A80" s="352" t="s">
        <v>88</v>
      </c>
      <c r="B80" s="348"/>
      <c r="C80" s="348"/>
      <c r="D80" s="348"/>
      <c r="E80" s="348"/>
      <c r="F80" s="348"/>
      <c r="G80" s="348"/>
      <c r="H80" s="349">
        <f t="shared" si="5"/>
        <v>0</v>
      </c>
    </row>
    <row r="81" spans="1:8" x14ac:dyDescent="0.3">
      <c r="A81" s="352" t="s">
        <v>89</v>
      </c>
      <c r="B81" s="349">
        <f>35372.16</f>
        <v>35372.160000000003</v>
      </c>
      <c r="C81" s="349">
        <f>48125.18</f>
        <v>48125.18</v>
      </c>
      <c r="D81" s="349">
        <f>45329.94</f>
        <v>45329.94</v>
      </c>
      <c r="E81" s="349">
        <f>66187.23</f>
        <v>66187.23</v>
      </c>
      <c r="F81" s="349">
        <f>46238.49</f>
        <v>46238.49</v>
      </c>
      <c r="G81" s="349">
        <f>43979.88</f>
        <v>43979.88</v>
      </c>
      <c r="H81" s="349">
        <f t="shared" si="5"/>
        <v>285232.88</v>
      </c>
    </row>
    <row r="82" spans="1:8" x14ac:dyDescent="0.3">
      <c r="A82" s="352" t="s">
        <v>90</v>
      </c>
      <c r="B82" s="349">
        <f>22615.4</f>
        <v>22615.4</v>
      </c>
      <c r="C82" s="349">
        <f>22615.4</f>
        <v>22615.4</v>
      </c>
      <c r="D82" s="349">
        <f>22615.4</f>
        <v>22615.4</v>
      </c>
      <c r="E82" s="349">
        <f>22615.41</f>
        <v>22615.41</v>
      </c>
      <c r="F82" s="349">
        <f>33923.1</f>
        <v>33923.1</v>
      </c>
      <c r="G82" s="349">
        <f>22615.4</f>
        <v>22615.4</v>
      </c>
      <c r="H82" s="349">
        <f t="shared" si="5"/>
        <v>147000.11000000002</v>
      </c>
    </row>
    <row r="83" spans="1:8" x14ac:dyDescent="0.3">
      <c r="A83" s="352" t="s">
        <v>91</v>
      </c>
      <c r="B83" s="350">
        <f t="shared" ref="B83:G83" si="14">((B80)+(B81))+(B82)</f>
        <v>57987.560000000005</v>
      </c>
      <c r="C83" s="350">
        <f t="shared" si="14"/>
        <v>70740.58</v>
      </c>
      <c r="D83" s="350">
        <f t="shared" si="14"/>
        <v>67945.34</v>
      </c>
      <c r="E83" s="350">
        <f t="shared" si="14"/>
        <v>88802.64</v>
      </c>
      <c r="F83" s="350">
        <f t="shared" si="14"/>
        <v>80161.59</v>
      </c>
      <c r="G83" s="350">
        <f t="shared" si="14"/>
        <v>66595.28</v>
      </c>
      <c r="H83" s="350">
        <f t="shared" si="5"/>
        <v>432232.99</v>
      </c>
    </row>
    <row r="84" spans="1:8" x14ac:dyDescent="0.3">
      <c r="A84" s="352" t="s">
        <v>92</v>
      </c>
      <c r="B84" s="348"/>
      <c r="C84" s="348"/>
      <c r="D84" s="348"/>
      <c r="E84" s="348"/>
      <c r="F84" s="348"/>
      <c r="G84" s="348"/>
      <c r="H84" s="349">
        <f t="shared" si="5"/>
        <v>0</v>
      </c>
    </row>
    <row r="85" spans="1:8" x14ac:dyDescent="0.3">
      <c r="A85" s="352" t="s">
        <v>93</v>
      </c>
      <c r="B85" s="349">
        <f>25475.02</f>
        <v>25475.02</v>
      </c>
      <c r="C85" s="349">
        <f>25255.93</f>
        <v>25255.93</v>
      </c>
      <c r="D85" s="349">
        <f>29928.58</f>
        <v>29928.58</v>
      </c>
      <c r="E85" s="349">
        <f>22436.84</f>
        <v>22436.84</v>
      </c>
      <c r="F85" s="349">
        <f>21918.28</f>
        <v>21918.28</v>
      </c>
      <c r="G85" s="349">
        <f>36444.26</f>
        <v>36444.26</v>
      </c>
      <c r="H85" s="349">
        <f t="shared" si="5"/>
        <v>161458.91</v>
      </c>
    </row>
    <row r="86" spans="1:8" x14ac:dyDescent="0.3">
      <c r="A86" s="352" t="s">
        <v>94</v>
      </c>
      <c r="B86" s="350">
        <f t="shared" ref="B86:G86" si="15">(B84)+(B85)</f>
        <v>25475.02</v>
      </c>
      <c r="C86" s="350">
        <f t="shared" si="15"/>
        <v>25255.93</v>
      </c>
      <c r="D86" s="350">
        <f t="shared" si="15"/>
        <v>29928.58</v>
      </c>
      <c r="E86" s="350">
        <f t="shared" si="15"/>
        <v>22436.84</v>
      </c>
      <c r="F86" s="350">
        <f t="shared" si="15"/>
        <v>21918.28</v>
      </c>
      <c r="G86" s="350">
        <f t="shared" si="15"/>
        <v>36444.26</v>
      </c>
      <c r="H86" s="350">
        <f t="shared" si="5"/>
        <v>161458.91</v>
      </c>
    </row>
    <row r="87" spans="1:8" x14ac:dyDescent="0.3">
      <c r="A87" s="352" t="s">
        <v>95</v>
      </c>
      <c r="B87" s="348"/>
      <c r="C87" s="348"/>
      <c r="D87" s="348"/>
      <c r="E87" s="348"/>
      <c r="F87" s="348"/>
      <c r="G87" s="348"/>
      <c r="H87" s="349">
        <f t="shared" si="5"/>
        <v>0</v>
      </c>
    </row>
    <row r="88" spans="1:8" x14ac:dyDescent="0.3">
      <c r="A88" s="352" t="s">
        <v>89</v>
      </c>
      <c r="B88" s="349">
        <f>14265.76</f>
        <v>14265.76</v>
      </c>
      <c r="C88" s="349">
        <f>15814.98</f>
        <v>15814.98</v>
      </c>
      <c r="D88" s="349">
        <f>28423.89</f>
        <v>28423.89</v>
      </c>
      <c r="E88" s="349">
        <f>12043.49</f>
        <v>12043.49</v>
      </c>
      <c r="F88" s="349">
        <f>14888.7</f>
        <v>14888.7</v>
      </c>
      <c r="G88" s="349">
        <f>20908.27</f>
        <v>20908.27</v>
      </c>
      <c r="H88" s="349">
        <f t="shared" si="5"/>
        <v>106345.09</v>
      </c>
    </row>
    <row r="89" spans="1:8" x14ac:dyDescent="0.3">
      <c r="A89" s="352" t="s">
        <v>96</v>
      </c>
      <c r="B89" s="350">
        <f t="shared" ref="B89:G89" si="16">(B87)+(B88)</f>
        <v>14265.76</v>
      </c>
      <c r="C89" s="350">
        <f t="shared" si="16"/>
        <v>15814.98</v>
      </c>
      <c r="D89" s="350">
        <f t="shared" si="16"/>
        <v>28423.89</v>
      </c>
      <c r="E89" s="350">
        <f t="shared" si="16"/>
        <v>12043.49</v>
      </c>
      <c r="F89" s="350">
        <f t="shared" si="16"/>
        <v>14888.7</v>
      </c>
      <c r="G89" s="350">
        <f t="shared" si="16"/>
        <v>20908.27</v>
      </c>
      <c r="H89" s="350">
        <f t="shared" ref="H89:H102" si="17">(((((B89)+(C89))+(D89))+(E89))+(F89))+(G89)</f>
        <v>106345.09</v>
      </c>
    </row>
    <row r="90" spans="1:8" x14ac:dyDescent="0.3">
      <c r="A90" s="352" t="s">
        <v>97</v>
      </c>
      <c r="B90" s="349">
        <f>0</f>
        <v>0</v>
      </c>
      <c r="C90" s="348"/>
      <c r="D90" s="348"/>
      <c r="E90" s="348"/>
      <c r="F90" s="348"/>
      <c r="G90" s="348"/>
      <c r="H90" s="349">
        <f t="shared" si="17"/>
        <v>0</v>
      </c>
    </row>
    <row r="91" spans="1:8" x14ac:dyDescent="0.3">
      <c r="A91" s="352" t="s">
        <v>89</v>
      </c>
      <c r="B91" s="348"/>
      <c r="C91" s="348"/>
      <c r="D91" s="348"/>
      <c r="E91" s="349">
        <f>672</f>
        <v>672</v>
      </c>
      <c r="F91" s="348"/>
      <c r="G91" s="348"/>
      <c r="H91" s="349">
        <f t="shared" si="17"/>
        <v>672</v>
      </c>
    </row>
    <row r="92" spans="1:8" x14ac:dyDescent="0.3">
      <c r="A92" s="352" t="s">
        <v>90</v>
      </c>
      <c r="B92" s="349">
        <f>201019.49</f>
        <v>201019.49</v>
      </c>
      <c r="C92" s="349">
        <f>205863.25</f>
        <v>205863.25</v>
      </c>
      <c r="D92" s="349">
        <f>207861.79</f>
        <v>207861.79</v>
      </c>
      <c r="E92" s="349">
        <f>298872.65</f>
        <v>298872.65000000002</v>
      </c>
      <c r="F92" s="349">
        <f>229609.53</f>
        <v>229609.53</v>
      </c>
      <c r="G92" s="349">
        <f>273496.19</f>
        <v>273496.19</v>
      </c>
      <c r="H92" s="349">
        <f t="shared" si="17"/>
        <v>1416722.9</v>
      </c>
    </row>
    <row r="93" spans="1:8" x14ac:dyDescent="0.3">
      <c r="A93" s="352" t="s">
        <v>98</v>
      </c>
      <c r="B93" s="350">
        <f t="shared" ref="B93:G93" si="18">((B90)+(B91))+(B92)</f>
        <v>201019.49</v>
      </c>
      <c r="C93" s="350">
        <f t="shared" si="18"/>
        <v>205863.25</v>
      </c>
      <c r="D93" s="350">
        <f t="shared" si="18"/>
        <v>207861.79</v>
      </c>
      <c r="E93" s="350">
        <f t="shared" si="18"/>
        <v>299544.65000000002</v>
      </c>
      <c r="F93" s="350">
        <f t="shared" si="18"/>
        <v>229609.53</v>
      </c>
      <c r="G93" s="350">
        <f t="shared" si="18"/>
        <v>273496.19</v>
      </c>
      <c r="H93" s="350">
        <f t="shared" si="17"/>
        <v>1417394.9</v>
      </c>
    </row>
    <row r="94" spans="1:8" x14ac:dyDescent="0.3">
      <c r="A94" s="352" t="s">
        <v>99</v>
      </c>
      <c r="B94" s="350">
        <f t="shared" ref="B94:G94" si="19">((((B79)+(B83))+(B86))+(B89))+(B93)</f>
        <v>298747.82999999996</v>
      </c>
      <c r="C94" s="350">
        <f t="shared" si="19"/>
        <v>317674.74</v>
      </c>
      <c r="D94" s="350">
        <f t="shared" si="19"/>
        <v>334159.59999999998</v>
      </c>
      <c r="E94" s="350">
        <f t="shared" si="19"/>
        <v>538667.74</v>
      </c>
      <c r="F94" s="350">
        <f t="shared" si="19"/>
        <v>346578.1</v>
      </c>
      <c r="G94" s="350">
        <f t="shared" si="19"/>
        <v>397444</v>
      </c>
      <c r="H94" s="350">
        <f t="shared" si="17"/>
        <v>2233272.0099999998</v>
      </c>
    </row>
    <row r="95" spans="1:8" x14ac:dyDescent="0.3">
      <c r="A95" s="352" t="s">
        <v>100</v>
      </c>
      <c r="B95" s="350">
        <f t="shared" ref="B95:G95" si="20">((((B75)+(B76))+(B77))+(B78))+(B94)</f>
        <v>330022.37999999995</v>
      </c>
      <c r="C95" s="350">
        <f t="shared" si="20"/>
        <v>346391.2</v>
      </c>
      <c r="D95" s="350">
        <f t="shared" si="20"/>
        <v>362370.44999999995</v>
      </c>
      <c r="E95" s="350">
        <f t="shared" si="20"/>
        <v>562058.69999999995</v>
      </c>
      <c r="F95" s="350">
        <f t="shared" si="20"/>
        <v>375502.44999999995</v>
      </c>
      <c r="G95" s="350">
        <f t="shared" si="20"/>
        <v>428196.04</v>
      </c>
      <c r="H95" s="350">
        <f t="shared" si="17"/>
        <v>2404541.2199999997</v>
      </c>
    </row>
    <row r="96" spans="1:8" x14ac:dyDescent="0.3">
      <c r="A96" s="352" t="s">
        <v>208</v>
      </c>
      <c r="B96" s="349">
        <f>483.39</f>
        <v>483.39</v>
      </c>
      <c r="C96" s="349">
        <f>112.43</f>
        <v>112.43</v>
      </c>
      <c r="D96" s="349">
        <f>220.11</f>
        <v>220.11</v>
      </c>
      <c r="E96" s="349">
        <f>19.56</f>
        <v>19.559999999999999</v>
      </c>
      <c r="F96" s="349">
        <f>75.27</f>
        <v>75.27</v>
      </c>
      <c r="G96" s="349">
        <f>174.03</f>
        <v>174.03</v>
      </c>
      <c r="H96" s="349">
        <f t="shared" si="17"/>
        <v>1084.79</v>
      </c>
    </row>
    <row r="97" spans="1:8" x14ac:dyDescent="0.3">
      <c r="A97" s="352" t="s">
        <v>102</v>
      </c>
      <c r="B97" s="349">
        <f>1860.69</f>
        <v>1860.69</v>
      </c>
      <c r="C97" s="349">
        <f>184.03</f>
        <v>184.03</v>
      </c>
      <c r="D97" s="349">
        <f>157.59</f>
        <v>157.59</v>
      </c>
      <c r="E97" s="349">
        <f>2149.99</f>
        <v>2149.9899999999998</v>
      </c>
      <c r="F97" s="349">
        <f>16288.33</f>
        <v>16288.33</v>
      </c>
      <c r="G97" s="349">
        <f>10000</f>
        <v>10000</v>
      </c>
      <c r="H97" s="349">
        <f t="shared" si="17"/>
        <v>30640.629999999997</v>
      </c>
    </row>
    <row r="98" spans="1:8" x14ac:dyDescent="0.3">
      <c r="A98" s="352" t="s">
        <v>484</v>
      </c>
      <c r="B98" s="348"/>
      <c r="C98" s="348"/>
      <c r="D98" s="348"/>
      <c r="E98" s="348"/>
      <c r="F98" s="349">
        <f>3897</f>
        <v>3897</v>
      </c>
      <c r="G98" s="349">
        <f>3653.43</f>
        <v>3653.43</v>
      </c>
      <c r="H98" s="349">
        <f t="shared" si="17"/>
        <v>7550.43</v>
      </c>
    </row>
    <row r="99" spans="1:8" x14ac:dyDescent="0.3">
      <c r="A99" s="352" t="s">
        <v>209</v>
      </c>
      <c r="B99" s="349">
        <f>194.36</f>
        <v>194.36</v>
      </c>
      <c r="C99" s="349">
        <f>14851.66</f>
        <v>14851.66</v>
      </c>
      <c r="D99" s="349">
        <f>1409.9</f>
        <v>1409.9</v>
      </c>
      <c r="E99" s="349">
        <f>5842.73</f>
        <v>5842.73</v>
      </c>
      <c r="F99" s="349">
        <f>3308.1</f>
        <v>3308.1</v>
      </c>
      <c r="G99" s="349">
        <f>1404.5</f>
        <v>1404.5</v>
      </c>
      <c r="H99" s="349">
        <f t="shared" si="17"/>
        <v>27011.25</v>
      </c>
    </row>
    <row r="100" spans="1:8" x14ac:dyDescent="0.3">
      <c r="A100" s="352" t="s">
        <v>485</v>
      </c>
      <c r="B100" s="348"/>
      <c r="C100" s="348"/>
      <c r="D100" s="348"/>
      <c r="E100" s="349">
        <f>3500</f>
        <v>3500</v>
      </c>
      <c r="F100" s="349">
        <f>-3500</f>
        <v>-3500</v>
      </c>
      <c r="G100" s="349">
        <f>0</f>
        <v>0</v>
      </c>
      <c r="H100" s="349">
        <f t="shared" si="17"/>
        <v>0</v>
      </c>
    </row>
    <row r="101" spans="1:8" x14ac:dyDescent="0.3">
      <c r="A101" s="352" t="s">
        <v>103</v>
      </c>
      <c r="B101" s="350">
        <f t="shared" ref="B101:G101" si="21">((((((((((B25)+(B59))+(B63))+(B73))+(B74))+(B95))+(B96))+(B97))+(B98))+(B99))+(B100)</f>
        <v>758970.73999999976</v>
      </c>
      <c r="C101" s="350">
        <f t="shared" si="21"/>
        <v>777244.92000000016</v>
      </c>
      <c r="D101" s="350">
        <f t="shared" si="21"/>
        <v>751290.21999999986</v>
      </c>
      <c r="E101" s="350">
        <f t="shared" si="21"/>
        <v>840695.65</v>
      </c>
      <c r="F101" s="350">
        <f t="shared" si="21"/>
        <v>849850.91999999993</v>
      </c>
      <c r="G101" s="350">
        <f t="shared" si="21"/>
        <v>940646.88</v>
      </c>
      <c r="H101" s="350">
        <f t="shared" si="17"/>
        <v>4918699.33</v>
      </c>
    </row>
    <row r="102" spans="1:8" x14ac:dyDescent="0.3">
      <c r="A102" s="352" t="s">
        <v>104</v>
      </c>
      <c r="B102" s="350">
        <f t="shared" ref="B102:G102" si="22">(B23)-(B101)</f>
        <v>274780.45999999973</v>
      </c>
      <c r="C102" s="350">
        <f t="shared" si="22"/>
        <v>-54501.39000000013</v>
      </c>
      <c r="D102" s="350">
        <f t="shared" si="22"/>
        <v>474845.78000000038</v>
      </c>
      <c r="E102" s="350">
        <f t="shared" si="22"/>
        <v>549680.60999999975</v>
      </c>
      <c r="F102" s="350">
        <f t="shared" si="22"/>
        <v>436286.33999999962</v>
      </c>
      <c r="G102" s="350">
        <f t="shared" si="22"/>
        <v>697636.17999999982</v>
      </c>
      <c r="H102" s="350">
        <f t="shared" si="17"/>
        <v>2378727.9799999991</v>
      </c>
    </row>
    <row r="103" spans="1:8" x14ac:dyDescent="0.3">
      <c r="A103" s="352" t="s">
        <v>105</v>
      </c>
      <c r="B103" s="348"/>
      <c r="C103" s="348"/>
      <c r="D103" s="348"/>
      <c r="E103" s="348"/>
      <c r="F103" s="348"/>
      <c r="G103" s="348"/>
      <c r="H103" s="348"/>
    </row>
    <row r="104" spans="1:8" x14ac:dyDescent="0.3">
      <c r="A104" s="352" t="s">
        <v>106</v>
      </c>
      <c r="B104" s="349">
        <f>2.54</f>
        <v>2.54</v>
      </c>
      <c r="C104" s="349">
        <f>2.38</f>
        <v>2.38</v>
      </c>
      <c r="D104" s="349">
        <f>1.44</f>
        <v>1.44</v>
      </c>
      <c r="E104" s="349">
        <f>3.44</f>
        <v>3.44</v>
      </c>
      <c r="F104" s="349">
        <f>27.06</f>
        <v>27.06</v>
      </c>
      <c r="G104" s="349">
        <f>34.43</f>
        <v>34.43</v>
      </c>
      <c r="H104" s="349">
        <f>(((((B104)+(C104))+(D104))+(E104))+(F104))+(G104)</f>
        <v>71.289999999999992</v>
      </c>
    </row>
    <row r="105" spans="1:8" x14ac:dyDescent="0.3">
      <c r="A105" s="352" t="s">
        <v>107</v>
      </c>
      <c r="B105" s="350">
        <f t="shared" ref="B105:G105" si="23">B104</f>
        <v>2.54</v>
      </c>
      <c r="C105" s="350">
        <f t="shared" si="23"/>
        <v>2.38</v>
      </c>
      <c r="D105" s="350">
        <f t="shared" si="23"/>
        <v>1.44</v>
      </c>
      <c r="E105" s="350">
        <f t="shared" si="23"/>
        <v>3.44</v>
      </c>
      <c r="F105" s="350">
        <f t="shared" si="23"/>
        <v>27.06</v>
      </c>
      <c r="G105" s="350">
        <f t="shared" si="23"/>
        <v>34.43</v>
      </c>
      <c r="H105" s="350">
        <f>(((((B105)+(C105))+(D105))+(E105))+(F105))+(G105)</f>
        <v>71.289999999999992</v>
      </c>
    </row>
    <row r="106" spans="1:8" x14ac:dyDescent="0.3">
      <c r="A106" s="352" t="s">
        <v>108</v>
      </c>
      <c r="B106" s="348"/>
      <c r="C106" s="348"/>
      <c r="D106" s="348"/>
      <c r="E106" s="348"/>
      <c r="F106" s="348"/>
      <c r="G106" s="348"/>
      <c r="H106" s="348"/>
    </row>
    <row r="107" spans="1:8" x14ac:dyDescent="0.3">
      <c r="A107" s="352" t="s">
        <v>109</v>
      </c>
      <c r="B107" s="348"/>
      <c r="C107" s="348"/>
      <c r="D107" s="348"/>
      <c r="E107" s="348"/>
      <c r="F107" s="348"/>
      <c r="G107" s="348"/>
      <c r="H107" s="349">
        <f t="shared" ref="H107:H113" si="24">(((((B107)+(C107))+(D107))+(E107))+(F107))+(G107)</f>
        <v>0</v>
      </c>
    </row>
    <row r="108" spans="1:8" x14ac:dyDescent="0.3">
      <c r="A108" s="352" t="s">
        <v>110</v>
      </c>
      <c r="B108" s="349">
        <f>344.67</f>
        <v>344.67</v>
      </c>
      <c r="C108" s="349">
        <f>302.66</f>
        <v>302.66000000000003</v>
      </c>
      <c r="D108" s="349">
        <f>260.34</f>
        <v>260.33999999999997</v>
      </c>
      <c r="E108" s="349">
        <f>217.72</f>
        <v>217.72</v>
      </c>
      <c r="F108" s="349">
        <f>174.8</f>
        <v>174.8</v>
      </c>
      <c r="G108" s="349">
        <f>131.57</f>
        <v>131.57</v>
      </c>
      <c r="H108" s="349">
        <f t="shared" si="24"/>
        <v>1431.76</v>
      </c>
    </row>
    <row r="109" spans="1:8" x14ac:dyDescent="0.3">
      <c r="A109" s="352" t="s">
        <v>111</v>
      </c>
      <c r="B109" s="350">
        <f t="shared" ref="B109:G109" si="25">(B107)+(B108)</f>
        <v>344.67</v>
      </c>
      <c r="C109" s="350">
        <f t="shared" si="25"/>
        <v>302.66000000000003</v>
      </c>
      <c r="D109" s="350">
        <f t="shared" si="25"/>
        <v>260.33999999999997</v>
      </c>
      <c r="E109" s="350">
        <f t="shared" si="25"/>
        <v>217.72</v>
      </c>
      <c r="F109" s="350">
        <f t="shared" si="25"/>
        <v>174.8</v>
      </c>
      <c r="G109" s="350">
        <f t="shared" si="25"/>
        <v>131.57</v>
      </c>
      <c r="H109" s="350">
        <f t="shared" si="24"/>
        <v>1431.76</v>
      </c>
    </row>
    <row r="110" spans="1:8" x14ac:dyDescent="0.3">
      <c r="A110" s="352" t="s">
        <v>112</v>
      </c>
      <c r="B110" s="349">
        <f t="shared" ref="B110:G110" si="26">219.31</f>
        <v>219.31</v>
      </c>
      <c r="C110" s="349">
        <f t="shared" si="26"/>
        <v>219.31</v>
      </c>
      <c r="D110" s="349">
        <f t="shared" si="26"/>
        <v>219.31</v>
      </c>
      <c r="E110" s="349">
        <f t="shared" si="26"/>
        <v>219.31</v>
      </c>
      <c r="F110" s="349">
        <f t="shared" si="26"/>
        <v>219.31</v>
      </c>
      <c r="G110" s="349">
        <f t="shared" si="26"/>
        <v>219.31</v>
      </c>
      <c r="H110" s="349">
        <f t="shared" si="24"/>
        <v>1315.86</v>
      </c>
    </row>
    <row r="111" spans="1:8" x14ac:dyDescent="0.3">
      <c r="A111" s="352" t="s">
        <v>113</v>
      </c>
      <c r="B111" s="350">
        <f t="shared" ref="B111:G111" si="27">(B109)+(B110)</f>
        <v>563.98</v>
      </c>
      <c r="C111" s="350">
        <f t="shared" si="27"/>
        <v>521.97</v>
      </c>
      <c r="D111" s="350">
        <f t="shared" si="27"/>
        <v>479.65</v>
      </c>
      <c r="E111" s="350">
        <f t="shared" si="27"/>
        <v>437.03</v>
      </c>
      <c r="F111" s="350">
        <f t="shared" si="27"/>
        <v>394.11</v>
      </c>
      <c r="G111" s="350">
        <f t="shared" si="27"/>
        <v>350.88</v>
      </c>
      <c r="H111" s="350">
        <f t="shared" si="24"/>
        <v>2747.62</v>
      </c>
    </row>
    <row r="112" spans="1:8" x14ac:dyDescent="0.3">
      <c r="A112" s="352" t="s">
        <v>114</v>
      </c>
      <c r="B112" s="350">
        <f t="shared" ref="B112:G112" si="28">(B105)-(B111)</f>
        <v>-561.44000000000005</v>
      </c>
      <c r="C112" s="350">
        <f t="shared" si="28"/>
        <v>-519.59</v>
      </c>
      <c r="D112" s="350">
        <f t="shared" si="28"/>
        <v>-478.21</v>
      </c>
      <c r="E112" s="350">
        <f t="shared" si="28"/>
        <v>-433.59</v>
      </c>
      <c r="F112" s="350">
        <f t="shared" si="28"/>
        <v>-367.05</v>
      </c>
      <c r="G112" s="350">
        <f t="shared" si="28"/>
        <v>-316.45</v>
      </c>
      <c r="H112" s="350">
        <f t="shared" si="24"/>
        <v>-2676.33</v>
      </c>
    </row>
    <row r="113" spans="1:8" x14ac:dyDescent="0.3">
      <c r="A113" s="352" t="s">
        <v>115</v>
      </c>
      <c r="B113" s="350">
        <f t="shared" ref="B113:G113" si="29">(B102)+(B112)</f>
        <v>274219.01999999973</v>
      </c>
      <c r="C113" s="350">
        <f t="shared" si="29"/>
        <v>-55020.980000000127</v>
      </c>
      <c r="D113" s="350">
        <f t="shared" si="29"/>
        <v>474367.57000000036</v>
      </c>
      <c r="E113" s="350">
        <f t="shared" si="29"/>
        <v>549247.01999999979</v>
      </c>
      <c r="F113" s="350">
        <f t="shared" si="29"/>
        <v>435919.28999999963</v>
      </c>
      <c r="G113" s="350">
        <f t="shared" si="29"/>
        <v>697319.72999999986</v>
      </c>
      <c r="H113" s="350">
        <f t="shared" si="24"/>
        <v>2376051.6499999994</v>
      </c>
    </row>
    <row r="114" spans="1:8" x14ac:dyDescent="0.3">
      <c r="A114" s="352"/>
      <c r="B114" s="348"/>
      <c r="C114" s="348"/>
      <c r="D114" s="348"/>
      <c r="E114" s="348"/>
      <c r="F114" s="348"/>
      <c r="G114" s="348"/>
      <c r="H114" s="348"/>
    </row>
    <row r="117" spans="1:8" x14ac:dyDescent="0.3">
      <c r="A117" s="373" t="s">
        <v>514</v>
      </c>
      <c r="B117" s="371"/>
      <c r="C117" s="371"/>
      <c r="D117" s="371"/>
      <c r="E117" s="371"/>
      <c r="F117" s="371"/>
      <c r="G117" s="371"/>
      <c r="H117" s="371"/>
    </row>
  </sheetData>
  <mergeCells count="4">
    <mergeCell ref="A1:H1"/>
    <mergeCell ref="A2:H2"/>
    <mergeCell ref="A3:H3"/>
    <mergeCell ref="A117:H117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BEC7AF55AE1C7499843CE4D783D3DAC" ma:contentTypeVersion="2" ma:contentTypeDescription="Create a new document." ma:contentTypeScope="" ma:versionID="86312e06a555a2f4d3f9815e15fe0d04">
  <xsd:schema xmlns:xsd="http://www.w3.org/2001/XMLSchema" xmlns:xs="http://www.w3.org/2001/XMLSchema" xmlns:p="http://schemas.microsoft.com/office/2006/metadata/properties" xmlns:ns3="02cb4db8-3c07-4e5c-bab3-99d7c764516d" targetNamespace="http://schemas.microsoft.com/office/2006/metadata/properties" ma:root="true" ma:fieldsID="54fec954c459d171937ebdfa63608003" ns3:_="">
    <xsd:import namespace="02cb4db8-3c07-4e5c-bab3-99d7c764516d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2cb4db8-3c07-4e5c-bab3-99d7c764516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40B4A28-EA0C-4653-B41A-6250D2DFDD6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7CCBD8A-82C1-48CC-B4C5-4EFA0294BD5D}">
  <ds:schemaRefs>
    <ds:schemaRef ds:uri="http://www.w3.org/XML/1998/namespace"/>
    <ds:schemaRef ds:uri="http://schemas.openxmlformats.org/package/2006/metadata/core-properties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purl.org/dc/terms/"/>
    <ds:schemaRef ds:uri="02cb4db8-3c07-4e5c-bab3-99d7c764516d"/>
    <ds:schemaRef ds:uri="http://schemas.microsoft.com/office/2006/metadata/propertie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467B0786-9A11-4060-B5D1-8AF63F0E8D0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2cb4db8-3c07-4e5c-bab3-99d7c764516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28</vt:i4>
      </vt:variant>
    </vt:vector>
  </HeadingPairs>
  <TitlesOfParts>
    <vt:vector size="28" baseType="lpstr">
      <vt:lpstr>Dashboard</vt:lpstr>
      <vt:lpstr>Model -&gt;</vt:lpstr>
      <vt:lpstr>P&amp;L</vt:lpstr>
      <vt:lpstr>Engine -&gt;</vt:lpstr>
      <vt:lpstr>Analysis</vt:lpstr>
      <vt:lpstr>Inputs -&gt;</vt:lpstr>
      <vt:lpstr>Customer</vt:lpstr>
      <vt:lpstr>P&amp;L -&gt;</vt:lpstr>
      <vt:lpstr>I2020</vt:lpstr>
      <vt:lpstr>I2019</vt:lpstr>
      <vt:lpstr>I2018</vt:lpstr>
      <vt:lpstr>I2017</vt:lpstr>
      <vt:lpstr>I2016</vt:lpstr>
      <vt:lpstr>I2015</vt:lpstr>
      <vt:lpstr>BS -&gt;</vt:lpstr>
      <vt:lpstr>B2020</vt:lpstr>
      <vt:lpstr>B2019</vt:lpstr>
      <vt:lpstr>B2018</vt:lpstr>
      <vt:lpstr>B2017</vt:lpstr>
      <vt:lpstr>B2016</vt:lpstr>
      <vt:lpstr>B2015</vt:lpstr>
      <vt:lpstr>CF -&gt;</vt:lpstr>
      <vt:lpstr>C2020</vt:lpstr>
      <vt:lpstr>C2019</vt:lpstr>
      <vt:lpstr>C2018</vt:lpstr>
      <vt:lpstr>C2017</vt:lpstr>
      <vt:lpstr>C2016</vt:lpstr>
      <vt:lpstr>C2015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Raees Chowdhury</dc:creator>
  <cp:lastModifiedBy>Arun Prakash</cp:lastModifiedBy>
  <dcterms:created xsi:type="dcterms:W3CDTF">2020-02-29T14:12:20Z</dcterms:created>
  <dcterms:modified xsi:type="dcterms:W3CDTF">2020-07-26T21:10:32Z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0x010100EBEC7AF55AE1C7499843CE4D783D3DAC</vt:lpwstr>
  </property>
</Properties>
</file>